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ürgen\Documents\Haus\- Haustechnikforum\"/>
    </mc:Choice>
  </mc:AlternateContent>
  <bookViews>
    <workbookView xWindow="480" yWindow="225" windowWidth="17130" windowHeight="9375"/>
  </bookViews>
  <sheets>
    <sheet name="Kollektorvergleich" sheetId="1" r:id="rId1"/>
    <sheet name="Würzburg" sheetId="2" r:id="rId2"/>
  </sheets>
  <calcPr calcId="152511"/>
</workbook>
</file>

<file path=xl/calcChain.xml><?xml version="1.0" encoding="utf-8"?>
<calcChain xmlns="http://schemas.openxmlformats.org/spreadsheetml/2006/main">
  <c r="V66" i="1" l="1"/>
  <c r="T66" i="1"/>
  <c r="T65" i="1"/>
  <c r="V65" i="1"/>
  <c r="V62" i="1"/>
  <c r="T62" i="1"/>
  <c r="S62" i="1"/>
  <c r="R62" i="1"/>
  <c r="V78" i="1" l="1"/>
  <c r="D104" i="1" l="1"/>
  <c r="L87" i="1"/>
  <c r="U78" i="1"/>
  <c r="K78" i="1" l="1"/>
  <c r="L78" i="1"/>
  <c r="M78" i="1"/>
  <c r="N78" i="1"/>
  <c r="O78" i="1"/>
  <c r="T78" i="1" l="1"/>
  <c r="Q78" i="1"/>
  <c r="R78" i="1"/>
  <c r="S78" i="1"/>
  <c r="P78" i="1"/>
  <c r="P62" i="1"/>
  <c r="Q62" i="1"/>
  <c r="N62" i="1"/>
  <c r="L61" i="1" l="1"/>
  <c r="L62" i="1" s="1"/>
  <c r="K62" i="1" l="1"/>
  <c r="G18" i="2" l="1"/>
  <c r="E39" i="2"/>
  <c r="F37" i="2"/>
  <c r="E37" i="2"/>
  <c r="I36" i="2"/>
  <c r="I35" i="2"/>
  <c r="I34" i="2"/>
  <c r="I33" i="2"/>
  <c r="I32" i="2"/>
  <c r="I31" i="2"/>
  <c r="I30" i="2"/>
  <c r="I29" i="2"/>
  <c r="I28" i="2"/>
  <c r="I27" i="2"/>
  <c r="E126" i="1"/>
  <c r="E151" i="1" s="1"/>
  <c r="F126" i="1"/>
  <c r="F151" i="1" s="1"/>
  <c r="G126" i="1"/>
  <c r="G151" i="1" s="1"/>
  <c r="H126" i="1"/>
  <c r="H151" i="1" s="1"/>
  <c r="D126" i="1"/>
  <c r="D151" i="1" s="1"/>
  <c r="I37" i="2" l="1"/>
  <c r="J30" i="2" s="1"/>
  <c r="E40" i="2"/>
  <c r="E18" i="2"/>
  <c r="F8" i="2" s="1"/>
  <c r="J28" i="2" l="1"/>
  <c r="J33" i="2"/>
  <c r="J27" i="2"/>
  <c r="J29" i="2"/>
  <c r="J36" i="2"/>
  <c r="J35" i="2"/>
  <c r="J34" i="2"/>
  <c r="J32" i="2"/>
  <c r="J31" i="2"/>
  <c r="F7" i="2"/>
  <c r="F15" i="2"/>
  <c r="F13" i="2"/>
  <c r="F11" i="2"/>
  <c r="F9" i="2"/>
  <c r="F16" i="2"/>
  <c r="F14" i="2"/>
  <c r="F12" i="2"/>
  <c r="F10" i="2"/>
  <c r="V47" i="1"/>
  <c r="V48" i="1" s="1"/>
  <c r="F18" i="2" l="1"/>
  <c r="U48" i="1"/>
  <c r="T48" i="1"/>
  <c r="S48" i="1" l="1"/>
  <c r="S37" i="1" l="1"/>
  <c r="T37" i="1"/>
  <c r="U37" i="1"/>
  <c r="P37" i="1"/>
  <c r="Q37" i="1"/>
  <c r="R37" i="1"/>
  <c r="O37" i="1" l="1"/>
  <c r="Q48" i="1"/>
  <c r="Q22" i="1"/>
  <c r="P22" i="1"/>
  <c r="R48" i="1" l="1"/>
  <c r="G81" i="1" l="1"/>
  <c r="H81" i="1"/>
  <c r="G82" i="1"/>
  <c r="H82" i="1"/>
  <c r="P48" i="1"/>
  <c r="E81" i="1" l="1"/>
  <c r="F81" i="1"/>
  <c r="E82" i="1"/>
  <c r="F82" i="1"/>
  <c r="D82" i="1"/>
  <c r="D81" i="1"/>
  <c r="O48" i="1"/>
  <c r="M48" i="1" l="1"/>
  <c r="N48" i="1"/>
  <c r="L48" i="1"/>
  <c r="E88" i="1" l="1"/>
  <c r="K48" i="1" l="1"/>
  <c r="D106" i="1" l="1"/>
  <c r="G88" i="1" l="1"/>
  <c r="F88" i="1"/>
  <c r="H88" i="1"/>
  <c r="D88" i="1"/>
  <c r="K19" i="1" l="1"/>
  <c r="D105" i="1" l="1"/>
  <c r="H89" i="1"/>
  <c r="G89" i="1"/>
  <c r="D89" i="1"/>
  <c r="F89" i="1"/>
  <c r="E89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4" i="1"/>
  <c r="H19" i="1" s="1"/>
  <c r="G14" i="1"/>
  <c r="G19" i="1" s="1"/>
  <c r="F14" i="1"/>
  <c r="F19" i="1" s="1"/>
  <c r="E14" i="1"/>
  <c r="E19" i="1" s="1"/>
  <c r="E44" i="1" s="1"/>
  <c r="D14" i="1"/>
  <c r="D19" i="1" s="1"/>
  <c r="D44" i="1" s="1"/>
  <c r="G12" i="1"/>
  <c r="G9" i="1"/>
  <c r="G8" i="1"/>
  <c r="G7" i="1"/>
  <c r="C14" i="1" s="1"/>
  <c r="H127" i="1" l="1"/>
  <c r="H152" i="1" s="1"/>
  <c r="G144" i="1"/>
  <c r="G169" i="1" s="1"/>
  <c r="H144" i="1"/>
  <c r="H169" i="1" s="1"/>
  <c r="D128" i="1"/>
  <c r="D153" i="1" s="1"/>
  <c r="D132" i="1"/>
  <c r="D157" i="1" s="1"/>
  <c r="D140" i="1"/>
  <c r="D165" i="1" s="1"/>
  <c r="D148" i="1"/>
  <c r="D173" i="1" s="1"/>
  <c r="G131" i="1"/>
  <c r="G156" i="1" s="1"/>
  <c r="F134" i="1"/>
  <c r="F159" i="1" s="1"/>
  <c r="G139" i="1"/>
  <c r="G164" i="1" s="1"/>
  <c r="E128" i="1"/>
  <c r="E153" i="1" s="1"/>
  <c r="D133" i="1"/>
  <c r="D158" i="1" s="1"/>
  <c r="D141" i="1"/>
  <c r="D166" i="1" s="1"/>
  <c r="F129" i="1"/>
  <c r="F154" i="1" s="1"/>
  <c r="H131" i="1"/>
  <c r="H156" i="1" s="1"/>
  <c r="G134" i="1"/>
  <c r="G159" i="1" s="1"/>
  <c r="F137" i="1"/>
  <c r="F162" i="1" s="1"/>
  <c r="H139" i="1"/>
  <c r="H164" i="1" s="1"/>
  <c r="G142" i="1"/>
  <c r="G167" i="1" s="1"/>
  <c r="F145" i="1"/>
  <c r="F170" i="1" s="1"/>
  <c r="H147" i="1"/>
  <c r="H172" i="1" s="1"/>
  <c r="E133" i="1"/>
  <c r="E158" i="1" s="1"/>
  <c r="E141" i="1"/>
  <c r="E166" i="1" s="1"/>
  <c r="F139" i="1"/>
  <c r="F164" i="1" s="1"/>
  <c r="E147" i="1"/>
  <c r="E172" i="1" s="1"/>
  <c r="E140" i="1"/>
  <c r="E165" i="1" s="1"/>
  <c r="F128" i="1"/>
  <c r="F153" i="1" s="1"/>
  <c r="D134" i="1"/>
  <c r="D159" i="1" s="1"/>
  <c r="D142" i="1"/>
  <c r="D167" i="1" s="1"/>
  <c r="G129" i="1"/>
  <c r="G154" i="1" s="1"/>
  <c r="F132" i="1"/>
  <c r="F157" i="1" s="1"/>
  <c r="H134" i="1"/>
  <c r="H159" i="1" s="1"/>
  <c r="G137" i="1"/>
  <c r="G162" i="1" s="1"/>
  <c r="F140" i="1"/>
  <c r="F165" i="1" s="1"/>
  <c r="H142" i="1"/>
  <c r="H167" i="1" s="1"/>
  <c r="G145" i="1"/>
  <c r="G170" i="1" s="1"/>
  <c r="F148" i="1"/>
  <c r="F173" i="1" s="1"/>
  <c r="E134" i="1"/>
  <c r="E159" i="1" s="1"/>
  <c r="E142" i="1"/>
  <c r="E167" i="1" s="1"/>
  <c r="G141" i="1"/>
  <c r="G166" i="1" s="1"/>
  <c r="E146" i="1"/>
  <c r="E171" i="1" s="1"/>
  <c r="F131" i="1"/>
  <c r="F156" i="1" s="1"/>
  <c r="E131" i="1"/>
  <c r="E156" i="1" s="1"/>
  <c r="E132" i="1"/>
  <c r="E157" i="1" s="1"/>
  <c r="D127" i="1"/>
  <c r="D152" i="1" s="1"/>
  <c r="G128" i="1"/>
  <c r="G153" i="1" s="1"/>
  <c r="D135" i="1"/>
  <c r="D160" i="1" s="1"/>
  <c r="D143" i="1"/>
  <c r="D168" i="1" s="1"/>
  <c r="H129" i="1"/>
  <c r="H154" i="1" s="1"/>
  <c r="G132" i="1"/>
  <c r="G157" i="1" s="1"/>
  <c r="F135" i="1"/>
  <c r="F160" i="1" s="1"/>
  <c r="H137" i="1"/>
  <c r="H162" i="1" s="1"/>
  <c r="G140" i="1"/>
  <c r="G165" i="1" s="1"/>
  <c r="F143" i="1"/>
  <c r="F168" i="1" s="1"/>
  <c r="H145" i="1"/>
  <c r="H170" i="1" s="1"/>
  <c r="G148" i="1"/>
  <c r="G173" i="1" s="1"/>
  <c r="E135" i="1"/>
  <c r="E160" i="1" s="1"/>
  <c r="E143" i="1"/>
  <c r="E168" i="1" s="1"/>
  <c r="D138" i="1"/>
  <c r="D163" i="1" s="1"/>
  <c r="G133" i="1"/>
  <c r="G158" i="1" s="1"/>
  <c r="H146" i="1"/>
  <c r="H171" i="1" s="1"/>
  <c r="D131" i="1"/>
  <c r="D156" i="1" s="1"/>
  <c r="H133" i="1"/>
  <c r="H158" i="1" s="1"/>
  <c r="F147" i="1"/>
  <c r="F172" i="1" s="1"/>
  <c r="F142" i="1"/>
  <c r="F167" i="1" s="1"/>
  <c r="E127" i="1"/>
  <c r="E152" i="1" s="1"/>
  <c r="H128" i="1"/>
  <c r="H153" i="1" s="1"/>
  <c r="D136" i="1"/>
  <c r="D161" i="1" s="1"/>
  <c r="D144" i="1"/>
  <c r="D169" i="1" s="1"/>
  <c r="F130" i="1"/>
  <c r="F155" i="1" s="1"/>
  <c r="H132" i="1"/>
  <c r="H157" i="1" s="1"/>
  <c r="G135" i="1"/>
  <c r="G160" i="1" s="1"/>
  <c r="F138" i="1"/>
  <c r="F163" i="1" s="1"/>
  <c r="H140" i="1"/>
  <c r="H165" i="1" s="1"/>
  <c r="G143" i="1"/>
  <c r="G168" i="1" s="1"/>
  <c r="F146" i="1"/>
  <c r="F171" i="1" s="1"/>
  <c r="H148" i="1"/>
  <c r="H173" i="1" s="1"/>
  <c r="E136" i="1"/>
  <c r="E161" i="1" s="1"/>
  <c r="E144" i="1"/>
  <c r="E169" i="1" s="1"/>
  <c r="D146" i="1"/>
  <c r="D171" i="1" s="1"/>
  <c r="F136" i="1"/>
  <c r="F161" i="1" s="1"/>
  <c r="F144" i="1"/>
  <c r="F169" i="1" s="1"/>
  <c r="E138" i="1"/>
  <c r="E163" i="1" s="1"/>
  <c r="D147" i="1"/>
  <c r="D172" i="1" s="1"/>
  <c r="H141" i="1"/>
  <c r="H166" i="1" s="1"/>
  <c r="H136" i="1"/>
  <c r="H161" i="1" s="1"/>
  <c r="E148" i="1"/>
  <c r="E173" i="1" s="1"/>
  <c r="F127" i="1"/>
  <c r="F152" i="1" s="1"/>
  <c r="D129" i="1"/>
  <c r="D154" i="1" s="1"/>
  <c r="D137" i="1"/>
  <c r="D162" i="1" s="1"/>
  <c r="D145" i="1"/>
  <c r="D170" i="1" s="1"/>
  <c r="G130" i="1"/>
  <c r="G155" i="1" s="1"/>
  <c r="F133" i="1"/>
  <c r="F158" i="1" s="1"/>
  <c r="H135" i="1"/>
  <c r="H160" i="1" s="1"/>
  <c r="G138" i="1"/>
  <c r="G163" i="1" s="1"/>
  <c r="F141" i="1"/>
  <c r="F166" i="1" s="1"/>
  <c r="H143" i="1"/>
  <c r="H168" i="1" s="1"/>
  <c r="G146" i="1"/>
  <c r="G171" i="1" s="1"/>
  <c r="E129" i="1"/>
  <c r="E154" i="1" s="1"/>
  <c r="E137" i="1"/>
  <c r="E162" i="1" s="1"/>
  <c r="E145" i="1"/>
  <c r="E170" i="1" s="1"/>
  <c r="G127" i="1"/>
  <c r="G152" i="1" s="1"/>
  <c r="D130" i="1"/>
  <c r="D155" i="1" s="1"/>
  <c r="H130" i="1"/>
  <c r="H155" i="1" s="1"/>
  <c r="H138" i="1"/>
  <c r="H163" i="1" s="1"/>
  <c r="E130" i="1"/>
  <c r="E155" i="1" s="1"/>
  <c r="D139" i="1"/>
  <c r="D164" i="1" s="1"/>
  <c r="G136" i="1"/>
  <c r="G161" i="1" s="1"/>
  <c r="E139" i="1"/>
  <c r="E164" i="1" s="1"/>
  <c r="G147" i="1"/>
  <c r="G172" i="1" s="1"/>
  <c r="G10" i="1"/>
  <c r="G11" i="1" s="1"/>
  <c r="C29" i="1"/>
  <c r="F29" i="1" s="1"/>
  <c r="F54" i="1" s="1"/>
  <c r="C32" i="1"/>
  <c r="G32" i="1" s="1"/>
  <c r="G57" i="1" s="1"/>
  <c r="C23" i="1"/>
  <c r="F23" i="1" s="1"/>
  <c r="F48" i="1" s="1"/>
  <c r="C41" i="1"/>
  <c r="G41" i="1" s="1"/>
  <c r="G66" i="1" s="1"/>
  <c r="C31" i="1"/>
  <c r="H31" i="1" s="1"/>
  <c r="H56" i="1" s="1"/>
  <c r="C22" i="1"/>
  <c r="F22" i="1" s="1"/>
  <c r="F47" i="1" s="1"/>
  <c r="C40" i="1"/>
  <c r="F40" i="1" s="1"/>
  <c r="F65" i="1" s="1"/>
  <c r="C20" i="1"/>
  <c r="G20" i="1" s="1"/>
  <c r="G45" i="1" s="1"/>
  <c r="C39" i="1"/>
  <c r="H39" i="1" s="1"/>
  <c r="H64" i="1" s="1"/>
  <c r="C28" i="1"/>
  <c r="D28" i="1" s="1"/>
  <c r="D53" i="1" s="1"/>
  <c r="C37" i="1"/>
  <c r="E37" i="1" s="1"/>
  <c r="E62" i="1" s="1"/>
  <c r="C27" i="1"/>
  <c r="H27" i="1" s="1"/>
  <c r="H52" i="1" s="1"/>
  <c r="C36" i="1"/>
  <c r="H36" i="1" s="1"/>
  <c r="H61" i="1" s="1"/>
  <c r="C26" i="1"/>
  <c r="F26" i="1" s="1"/>
  <c r="F51" i="1" s="1"/>
  <c r="C45" i="1"/>
  <c r="C35" i="1"/>
  <c r="H35" i="1" s="1"/>
  <c r="H60" i="1" s="1"/>
  <c r="C24" i="1"/>
  <c r="G24" i="1" s="1"/>
  <c r="G49" i="1" s="1"/>
  <c r="C33" i="1"/>
  <c r="H33" i="1" s="1"/>
  <c r="H58" i="1" s="1"/>
  <c r="C51" i="1"/>
  <c r="C59" i="1"/>
  <c r="C52" i="1"/>
  <c r="C60" i="1"/>
  <c r="C46" i="1"/>
  <c r="C53" i="1"/>
  <c r="C61" i="1"/>
  <c r="C54" i="1"/>
  <c r="C62" i="1"/>
  <c r="C47" i="1"/>
  <c r="C55" i="1"/>
  <c r="C63" i="1"/>
  <c r="C48" i="1"/>
  <c r="C56" i="1"/>
  <c r="C64" i="1"/>
  <c r="C49" i="1"/>
  <c r="C57" i="1"/>
  <c r="C65" i="1"/>
  <c r="C50" i="1"/>
  <c r="C58" i="1"/>
  <c r="C66" i="1"/>
  <c r="H44" i="1"/>
  <c r="F39" i="1"/>
  <c r="F64" i="1" s="1"/>
  <c r="F44" i="1"/>
  <c r="C80" i="1"/>
  <c r="G44" i="1"/>
  <c r="C21" i="1"/>
  <c r="F21" i="1" s="1"/>
  <c r="F46" i="1" s="1"/>
  <c r="C30" i="1"/>
  <c r="H30" i="1" s="1"/>
  <c r="H55" i="1" s="1"/>
  <c r="C34" i="1"/>
  <c r="E34" i="1" s="1"/>
  <c r="E59" i="1" s="1"/>
  <c r="C38" i="1"/>
  <c r="E38" i="1" s="1"/>
  <c r="E63" i="1" s="1"/>
  <c r="C25" i="1"/>
  <c r="E25" i="1" s="1"/>
  <c r="E50" i="1" s="1"/>
  <c r="B80" i="1" l="1"/>
  <c r="G13" i="1"/>
  <c r="D39" i="1"/>
  <c r="D64" i="1" s="1"/>
  <c r="E29" i="1"/>
  <c r="E54" i="1" s="1"/>
  <c r="E33" i="1"/>
  <c r="E58" i="1" s="1"/>
  <c r="F28" i="1"/>
  <c r="F53" i="1" s="1"/>
  <c r="D24" i="1"/>
  <c r="D49" i="1" s="1"/>
  <c r="E23" i="1"/>
  <c r="E48" i="1" s="1"/>
  <c r="F33" i="1"/>
  <c r="F58" i="1" s="1"/>
  <c r="D33" i="1"/>
  <c r="D58" i="1" s="1"/>
  <c r="G29" i="1"/>
  <c r="G54" i="1" s="1"/>
  <c r="G39" i="1"/>
  <c r="G64" i="1" s="1"/>
  <c r="F24" i="1"/>
  <c r="F49" i="1" s="1"/>
  <c r="H28" i="1"/>
  <c r="H53" i="1" s="1"/>
  <c r="E39" i="1"/>
  <c r="E64" i="1" s="1"/>
  <c r="H24" i="1"/>
  <c r="H49" i="1" s="1"/>
  <c r="G27" i="1"/>
  <c r="G52" i="1" s="1"/>
  <c r="D23" i="1"/>
  <c r="D48" i="1" s="1"/>
  <c r="E24" i="1"/>
  <c r="E49" i="1" s="1"/>
  <c r="H32" i="1"/>
  <c r="H57" i="1" s="1"/>
  <c r="G23" i="1"/>
  <c r="G48" i="1" s="1"/>
  <c r="D27" i="1"/>
  <c r="D52" i="1" s="1"/>
  <c r="D32" i="1"/>
  <c r="D57" i="1" s="1"/>
  <c r="G33" i="1"/>
  <c r="G58" i="1" s="1"/>
  <c r="D29" i="1"/>
  <c r="D54" i="1" s="1"/>
  <c r="E28" i="1"/>
  <c r="E53" i="1" s="1"/>
  <c r="F27" i="1"/>
  <c r="F52" i="1" s="1"/>
  <c r="H29" i="1"/>
  <c r="H54" i="1" s="1"/>
  <c r="F37" i="1"/>
  <c r="F62" i="1" s="1"/>
  <c r="G37" i="1"/>
  <c r="G62" i="1" s="1"/>
  <c r="G28" i="1"/>
  <c r="G53" i="1" s="1"/>
  <c r="H23" i="1"/>
  <c r="H48" i="1" s="1"/>
  <c r="E26" i="1"/>
  <c r="E51" i="1" s="1"/>
  <c r="H26" i="1"/>
  <c r="H51" i="1" s="1"/>
  <c r="G36" i="1"/>
  <c r="G61" i="1" s="1"/>
  <c r="F31" i="1"/>
  <c r="F56" i="1" s="1"/>
  <c r="F41" i="1"/>
  <c r="F66" i="1" s="1"/>
  <c r="F36" i="1"/>
  <c r="F61" i="1" s="1"/>
  <c r="D41" i="1"/>
  <c r="D66" i="1" s="1"/>
  <c r="E32" i="1"/>
  <c r="E57" i="1" s="1"/>
  <c r="H41" i="1"/>
  <c r="H66" i="1" s="1"/>
  <c r="E27" i="1"/>
  <c r="E52" i="1" s="1"/>
  <c r="D36" i="1"/>
  <c r="D61" i="1" s="1"/>
  <c r="C42" i="1"/>
  <c r="G35" i="1"/>
  <c r="G60" i="1" s="1"/>
  <c r="H22" i="1"/>
  <c r="H47" i="1" s="1"/>
  <c r="D31" i="1"/>
  <c r="D56" i="1" s="1"/>
  <c r="E41" i="1"/>
  <c r="E66" i="1" s="1"/>
  <c r="E31" i="1"/>
  <c r="E56" i="1" s="1"/>
  <c r="H40" i="1"/>
  <c r="H65" i="1" s="1"/>
  <c r="D37" i="1"/>
  <c r="D62" i="1" s="1"/>
  <c r="F32" i="1"/>
  <c r="F57" i="1" s="1"/>
  <c r="H37" i="1"/>
  <c r="H62" i="1" s="1"/>
  <c r="E35" i="1"/>
  <c r="E60" i="1" s="1"/>
  <c r="H21" i="1"/>
  <c r="H46" i="1" s="1"/>
  <c r="D35" i="1"/>
  <c r="D60" i="1" s="1"/>
  <c r="G22" i="1"/>
  <c r="G47" i="1" s="1"/>
  <c r="G31" i="1"/>
  <c r="G56" i="1" s="1"/>
  <c r="F20" i="1"/>
  <c r="F45" i="1" s="1"/>
  <c r="E36" i="1"/>
  <c r="E61" i="1" s="1"/>
  <c r="D22" i="1"/>
  <c r="D47" i="1" s="1"/>
  <c r="D26" i="1"/>
  <c r="D51" i="1" s="1"/>
  <c r="G40" i="1"/>
  <c r="G65" i="1" s="1"/>
  <c r="F35" i="1"/>
  <c r="F60" i="1" s="1"/>
  <c r="D40" i="1"/>
  <c r="D65" i="1" s="1"/>
  <c r="D20" i="1"/>
  <c r="D45" i="1" s="1"/>
  <c r="E40" i="1"/>
  <c r="E65" i="1" s="1"/>
  <c r="G30" i="1"/>
  <c r="G55" i="1" s="1"/>
  <c r="E20" i="1"/>
  <c r="E45" i="1" s="1"/>
  <c r="H20" i="1"/>
  <c r="H45" i="1" s="1"/>
  <c r="E22" i="1"/>
  <c r="E47" i="1" s="1"/>
  <c r="G26" i="1"/>
  <c r="G51" i="1" s="1"/>
  <c r="H25" i="1"/>
  <c r="H50" i="1" s="1"/>
  <c r="D25" i="1"/>
  <c r="D50" i="1" s="1"/>
  <c r="F25" i="1"/>
  <c r="F50" i="1" s="1"/>
  <c r="G25" i="1"/>
  <c r="G50" i="1" s="1"/>
  <c r="H38" i="1"/>
  <c r="H63" i="1" s="1"/>
  <c r="F30" i="1"/>
  <c r="F55" i="1" s="1"/>
  <c r="D30" i="1"/>
  <c r="D55" i="1" s="1"/>
  <c r="G38" i="1"/>
  <c r="G63" i="1" s="1"/>
  <c r="G21" i="1"/>
  <c r="G46" i="1" s="1"/>
  <c r="F34" i="1"/>
  <c r="F59" i="1" s="1"/>
  <c r="D21" i="1"/>
  <c r="D46" i="1" s="1"/>
  <c r="F38" i="1"/>
  <c r="F63" i="1" s="1"/>
  <c r="D38" i="1"/>
  <c r="D63" i="1" s="1"/>
  <c r="G34" i="1"/>
  <c r="G59" i="1" s="1"/>
  <c r="E21" i="1"/>
  <c r="E46" i="1" s="1"/>
  <c r="D34" i="1"/>
  <c r="D59" i="1" s="1"/>
  <c r="H34" i="1"/>
  <c r="H59" i="1" s="1"/>
  <c r="E30" i="1"/>
  <c r="E55" i="1" s="1"/>
  <c r="E42" i="1" l="1"/>
  <c r="H42" i="1"/>
  <c r="D42" i="1"/>
  <c r="D78" i="1" s="1"/>
  <c r="D80" i="1" s="1"/>
  <c r="F42" i="1"/>
  <c r="F78" i="1" s="1"/>
  <c r="G42" i="1"/>
  <c r="G78" i="1" s="1"/>
  <c r="D84" i="1" l="1"/>
  <c r="D85" i="1" s="1"/>
  <c r="D96" i="1"/>
  <c r="D67" i="1"/>
  <c r="D91" i="1" s="1"/>
  <c r="D83" i="1"/>
  <c r="G80" i="1"/>
  <c r="G96" i="1" s="1"/>
  <c r="G67" i="1"/>
  <c r="G91" i="1" s="1"/>
  <c r="E67" i="1"/>
  <c r="E91" i="1" s="1"/>
  <c r="E78" i="1"/>
  <c r="E80" i="1" s="1"/>
  <c r="F80" i="1"/>
  <c r="F96" i="1" s="1"/>
  <c r="F67" i="1"/>
  <c r="F91" i="1" s="1"/>
  <c r="H67" i="1"/>
  <c r="H91" i="1" s="1"/>
  <c r="H78" i="1"/>
  <c r="H80" i="1" s="1"/>
  <c r="N87" i="1" s="1"/>
  <c r="H96" i="1" l="1"/>
  <c r="N84" i="1"/>
  <c r="E84" i="1"/>
  <c r="E85" i="1" s="1"/>
  <c r="E96" i="1"/>
  <c r="F84" i="1"/>
  <c r="F85" i="1" s="1"/>
  <c r="D86" i="1"/>
  <c r="D87" i="1" s="1"/>
  <c r="G83" i="1"/>
  <c r="G84" i="1"/>
  <c r="G85" i="1" s="1"/>
  <c r="H83" i="1"/>
  <c r="H84" i="1"/>
  <c r="H85" i="1" s="1"/>
  <c r="F83" i="1"/>
  <c r="E83" i="1"/>
  <c r="E86" i="1" s="1"/>
  <c r="H92" i="1"/>
  <c r="H94" i="1"/>
  <c r="H95" i="1" s="1"/>
  <c r="E94" i="1"/>
  <c r="E95" i="1" s="1"/>
  <c r="E92" i="1"/>
  <c r="D92" i="1"/>
  <c r="D94" i="1"/>
  <c r="D95" i="1" s="1"/>
  <c r="F94" i="1"/>
  <c r="F95" i="1" s="1"/>
  <c r="F92" i="1"/>
  <c r="G94" i="1"/>
  <c r="G95" i="1" s="1"/>
  <c r="G92" i="1"/>
  <c r="H86" i="1" l="1"/>
  <c r="H87" i="1" s="1"/>
  <c r="H97" i="1"/>
  <c r="H98" i="1" s="1"/>
  <c r="E87" i="1"/>
  <c r="E97" i="1"/>
  <c r="E98" i="1" s="1"/>
  <c r="G86" i="1"/>
  <c r="G87" i="1" s="1"/>
  <c r="G97" i="1"/>
  <c r="G98" i="1" s="1"/>
  <c r="F86" i="1"/>
  <c r="F87" i="1" s="1"/>
  <c r="F97" i="1"/>
  <c r="F98" i="1" s="1"/>
  <c r="D97" i="1"/>
  <c r="D98" i="1" s="1"/>
</calcChain>
</file>

<file path=xl/sharedStrings.xml><?xml version="1.0" encoding="utf-8"?>
<sst xmlns="http://schemas.openxmlformats.org/spreadsheetml/2006/main" count="327" uniqueCount="197">
  <si>
    <t>alle Angaben aus Solar Keymark Zertifikaten bezogen auf aperturfläche</t>
  </si>
  <si>
    <t>Thermosolar</t>
  </si>
  <si>
    <t>Vissmann</t>
  </si>
  <si>
    <t>NUR Grüne Felder Ausfüllen / Ändern</t>
  </si>
  <si>
    <t>Input in green fields</t>
  </si>
  <si>
    <t>GSE2000/TIN</t>
  </si>
  <si>
    <t>cpc star azzuro</t>
  </si>
  <si>
    <t>Power 15</t>
  </si>
  <si>
    <t>Vitosol 200-F SD1</t>
  </si>
  <si>
    <t>Optical efficiency, n0:</t>
  </si>
  <si>
    <t>HT-SA 28/10</t>
  </si>
  <si>
    <t>1st order heat loss coefficient, a1:</t>
  </si>
  <si>
    <t>2nd order heat loss coefficient, a2:</t>
  </si>
  <si>
    <t>Außentemperatur</t>
  </si>
  <si>
    <t>C</t>
  </si>
  <si>
    <t>T VL Kollektor</t>
  </si>
  <si>
    <t>Theta L 50°</t>
  </si>
  <si>
    <t>T RL Kollektor</t>
  </si>
  <si>
    <t>Mittlere kollektortemperatur</t>
  </si>
  <si>
    <t>K</t>
  </si>
  <si>
    <t>Theta T 50°</t>
  </si>
  <si>
    <t>Temperature difference between collector fluid and ambient, Tm-Ta:</t>
  </si>
  <si>
    <t>FK</t>
  </si>
  <si>
    <t>CPC VRK**</t>
  </si>
  <si>
    <t>CPC VRK*</t>
  </si>
  <si>
    <t>* nur ein einfacher gewölbter Spiegel</t>
  </si>
  <si>
    <t>Solar irradiance on collector plane, G:</t>
  </si>
  <si>
    <t>W/m²</t>
  </si>
  <si>
    <t>** doppel-Parabolspiegel</t>
  </si>
  <si>
    <t>Thermodynamischer Wirkungsgrad eta c</t>
  </si>
  <si>
    <t>-</t>
  </si>
  <si>
    <t>Ta</t>
  </si>
  <si>
    <t>Daten diverser Kollektoren</t>
  </si>
  <si>
    <t>n0</t>
  </si>
  <si>
    <t>Solarfokus</t>
  </si>
  <si>
    <t>sunrain VRK</t>
  </si>
  <si>
    <t>Peter solar</t>
  </si>
  <si>
    <t>a1</t>
  </si>
  <si>
    <t>CPC S1</t>
  </si>
  <si>
    <t>TZ-CPC</t>
  </si>
  <si>
    <t>TZ-R</t>
  </si>
  <si>
    <t>TZ</t>
  </si>
  <si>
    <t>Solar easy SPC 21</t>
  </si>
  <si>
    <t>TS400</t>
  </si>
  <si>
    <t>a2</t>
  </si>
  <si>
    <t>Tm</t>
  </si>
  <si>
    <t>Tm-Ta</t>
  </si>
  <si>
    <t>CPC VRK</t>
  </si>
  <si>
    <t>VRK</t>
  </si>
  <si>
    <t>G</t>
  </si>
  <si>
    <t>Theta korrigiert</t>
  </si>
  <si>
    <t xml:space="preserve">Bruttofläche          </t>
  </si>
  <si>
    <t>bezogen auf Apertur</t>
  </si>
  <si>
    <t>Exergie</t>
  </si>
  <si>
    <t>bezogen auf Bruttofläche</t>
  </si>
  <si>
    <t>Aperturfläche</t>
  </si>
  <si>
    <t>Einstrahlung</t>
  </si>
  <si>
    <t>mittlere Kollektortemp</t>
  </si>
  <si>
    <t>TM-TA</t>
  </si>
  <si>
    <t>Original von Jan Erik Nielsen, ESTIF, 2006</t>
  </si>
  <si>
    <t>Abgewandelt und ergänzt Jürgen Freyer, ibf. 2012</t>
  </si>
  <si>
    <t xml:space="preserve">Eingaben nur in </t>
  </si>
  <si>
    <t>grüne</t>
  </si>
  <si>
    <t>Felder</t>
  </si>
  <si>
    <t>T Eintritt Kollektor</t>
  </si>
  <si>
    <t>T Austritt Kollektor</t>
  </si>
  <si>
    <t xml:space="preserve">das ungefähre Optimum ist dann in der unteren Grafik zu finden </t>
  </si>
  <si>
    <t>danach kann man dann durch geringfügige Temperaturvariation T Austritt das Exergiemaximum herausfinden, was dann auch den besten Ertrag bringt</t>
  </si>
  <si>
    <t>mal Bruttofläche</t>
  </si>
  <si>
    <t>mal Aperturfläche</t>
  </si>
  <si>
    <t xml:space="preserve">Apertur/Brutto                         </t>
  </si>
  <si>
    <t>Estec</t>
  </si>
  <si>
    <t>VR14-CPC</t>
  </si>
  <si>
    <t>Strahlungsdauer  Würzburg</t>
  </si>
  <si>
    <t>0 - 100</t>
  </si>
  <si>
    <t>100-200</t>
  </si>
  <si>
    <t>200-300</t>
  </si>
  <si>
    <t>300-400</t>
  </si>
  <si>
    <t>400-500</t>
  </si>
  <si>
    <t>500-600</t>
  </si>
  <si>
    <t>600-700</t>
  </si>
  <si>
    <t>700-800</t>
  </si>
  <si>
    <t>800-900</t>
  </si>
  <si>
    <t>&gt;900</t>
  </si>
  <si>
    <t>prozentuale Leistung</t>
  </si>
  <si>
    <t>M-Krypton1</t>
  </si>
  <si>
    <t>Mea-Solar</t>
  </si>
  <si>
    <t>Vakuum FK</t>
  </si>
  <si>
    <t>Consolar</t>
  </si>
  <si>
    <t>Tubo 12 CPC</t>
  </si>
  <si>
    <t>AMK</t>
  </si>
  <si>
    <t>Apertur</t>
  </si>
  <si>
    <t>Brutto</t>
  </si>
  <si>
    <t>eta(0)</t>
  </si>
  <si>
    <t>k1</t>
  </si>
  <si>
    <t>k2</t>
  </si>
  <si>
    <t>h</t>
  </si>
  <si>
    <t>leistung</t>
  </si>
  <si>
    <t>OWR12</t>
  </si>
  <si>
    <t>eta</t>
  </si>
  <si>
    <t>Theta L (50°)</t>
  </si>
  <si>
    <t>Theta T (50°)</t>
  </si>
  <si>
    <t>Kollektordaten in grüne Felders eingeben</t>
  </si>
  <si>
    <t>kWh/m³K</t>
  </si>
  <si>
    <t>TVL-TRL</t>
  </si>
  <si>
    <t>Durchfluss</t>
  </si>
  <si>
    <t>wagner solar</t>
  </si>
  <si>
    <t>C20 HTF</t>
  </si>
  <si>
    <t>C20 AR</t>
  </si>
  <si>
    <t>sunrain</t>
  </si>
  <si>
    <t>TZ58/1800 30</t>
  </si>
  <si>
    <t>sunpower</t>
  </si>
  <si>
    <t>SPA-58/1800-30</t>
  </si>
  <si>
    <t>wankang</t>
  </si>
  <si>
    <t>CD 1800/58</t>
  </si>
  <si>
    <t>solar bayer</t>
  </si>
  <si>
    <t>CPC18</t>
  </si>
  <si>
    <t>thermics</t>
  </si>
  <si>
    <t>CPC18 sk</t>
  </si>
  <si>
    <t>10DTH-CPC</t>
  </si>
  <si>
    <t>CPC</t>
  </si>
  <si>
    <t>AcoTec</t>
  </si>
  <si>
    <t>Vario 500</t>
  </si>
  <si>
    <t>Vario 3000</t>
  </si>
  <si>
    <t>Solvis</t>
  </si>
  <si>
    <t xml:space="preserve"> Fera 552</t>
  </si>
  <si>
    <t>sunshoresolar</t>
  </si>
  <si>
    <t>Q-B-J-1-90/3.90.0</t>
  </si>
  <si>
    <t>Hersteller</t>
  </si>
  <si>
    <t>Typ</t>
  </si>
  <si>
    <t xml:space="preserve">VRK mit CPC </t>
  </si>
  <si>
    <t>peter-solar</t>
  </si>
  <si>
    <t>XXX</t>
  </si>
  <si>
    <t>Druckloser Sydneykollektor direktdurchflossen, chinesische Simpelbauart, Wasser direkt in die Sydneyröhren</t>
  </si>
  <si>
    <t>Riviera Impiant</t>
  </si>
  <si>
    <t>Ecosole C2</t>
  </si>
  <si>
    <t>OWR20</t>
  </si>
  <si>
    <t>spez. Ertrag bez Brutto T50</t>
  </si>
  <si>
    <t>spez. Ertrag bez Apertur T50</t>
  </si>
  <si>
    <t>spez. Ertrag bez Brutto T0</t>
  </si>
  <si>
    <t>spez. Ertrag bez Apertur T0</t>
  </si>
  <si>
    <t>CPC 18 OEM RP</t>
  </si>
  <si>
    <t>Ritter</t>
  </si>
  <si>
    <t>solar easy cpc</t>
  </si>
  <si>
    <t>0 - 200</t>
  </si>
  <si>
    <t>Aqua Plasma</t>
  </si>
  <si>
    <t>Wiosun</t>
  </si>
  <si>
    <t>PVT</t>
  </si>
  <si>
    <t>solarhybrid</t>
  </si>
  <si>
    <t>PT-S250</t>
  </si>
  <si>
    <t>wolf</t>
  </si>
  <si>
    <t>TopSon F3-1</t>
  </si>
  <si>
    <t>Leistung</t>
  </si>
  <si>
    <t>prozentuale</t>
  </si>
  <si>
    <t xml:space="preserve">Strahlungsdauer </t>
  </si>
  <si>
    <t>Strahlung</t>
  </si>
  <si>
    <t>(Würzburg) h</t>
  </si>
  <si>
    <t>prozentual</t>
  </si>
  <si>
    <t>Dauer</t>
  </si>
  <si>
    <t>°C</t>
  </si>
  <si>
    <t>Wirkungsgradkurven</t>
  </si>
  <si>
    <t>TA, T RL und TVL in die grünen Felder eingeben</t>
  </si>
  <si>
    <t xml:space="preserve">Wirkungsgradkurven ergänzt, J.Freyer, ibf, 2013/05 </t>
  </si>
  <si>
    <t>Hark</t>
  </si>
  <si>
    <t>FK D1</t>
  </si>
  <si>
    <t>Olymp Werk</t>
  </si>
  <si>
    <t>Sunstar HP 65/30</t>
  </si>
  <si>
    <t>HLK20</t>
  </si>
  <si>
    <t>HLK30</t>
  </si>
  <si>
    <t>TWL</t>
  </si>
  <si>
    <t>Haier</t>
  </si>
  <si>
    <t>PGT2.0-2</t>
  </si>
  <si>
    <t>Viessmann</t>
  </si>
  <si>
    <t>Vitasol 200-T  SP2A</t>
  </si>
  <si>
    <t>l</t>
  </si>
  <si>
    <t>W/lK</t>
  </si>
  <si>
    <t>W</t>
  </si>
  <si>
    <t>nur für RausAusmHaus</t>
  </si>
  <si>
    <t>Änderung der Einstrahlung da</t>
  </si>
  <si>
    <t>zeigt da den zu erwartenden Temperaturanstieg (je Stunde) ohne Verlust an</t>
  </si>
  <si>
    <t>Bossmann</t>
  </si>
  <si>
    <t>sunextreme</t>
  </si>
  <si>
    <t>Ravensberger</t>
  </si>
  <si>
    <t>high Energy</t>
  </si>
  <si>
    <t xml:space="preserve">Platinstar </t>
  </si>
  <si>
    <t>CPC 24</t>
  </si>
  <si>
    <t>CPC 18</t>
  </si>
  <si>
    <t>solarnorm</t>
  </si>
  <si>
    <t>VC30</t>
  </si>
  <si>
    <t>Speichergröße</t>
  </si>
  <si>
    <t>Solardach</t>
  </si>
  <si>
    <t>ohne Glas</t>
  </si>
  <si>
    <t>Ritter XL</t>
  </si>
  <si>
    <t>CPC 19/49</t>
  </si>
  <si>
    <t>XL 19/49 P</t>
  </si>
  <si>
    <t>MT-Power v3.11</t>
  </si>
  <si>
    <t>tvpsolar.com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</si>
</sst>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.000"/>
    <numFmt numFmtId="165" formatCode="#,##0.000"/>
    <numFmt numFmtId="166" formatCode="0.0000"/>
    <numFmt numFmtId="167" formatCode="0.0\ \K"/>
    <numFmt numFmtId="168" formatCode="0\ \W\/\m\²"/>
    <numFmt numFmtId="169" formatCode="0.0%"/>
    <numFmt numFmtId="170" formatCode="0\ \W"/>
    <numFmt numFmtId="171" formatCode="0.00\ \m\²"/>
    <numFmt numFmtId="172" formatCode="0.0\ \W\/\m\²"/>
    <numFmt numFmtId="173" formatCode="0.00\ \W"/>
    <numFmt numFmtId="174" formatCode="0.00\ \l\/\m\i\n"/>
    <numFmt numFmtId="175" formatCode="0.000\ \m\³\/\h"/>
    <numFmt numFmtId="176" formatCode="0.000\ \l\/\s\e\c"/>
    <numFmt numFmtId="177" formatCode="#,##0.0000"/>
    <numFmt numFmtId="178" formatCode="0.0"/>
    <numFmt numFmtId="179" formatCode="0.000\ \m\²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b/>
      <sz val="10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34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4" fillId="3" borderId="4" xfId="0" applyNumberFormat="1" applyFont="1" applyFill="1" applyBorder="1" applyAlignment="1" applyProtection="1"/>
    <xf numFmtId="0" fontId="4" fillId="3" borderId="5" xfId="0" applyNumberFormat="1" applyFont="1" applyFill="1" applyBorder="1" applyAlignment="1" applyProtection="1"/>
    <xf numFmtId="0" fontId="4" fillId="3" borderId="9" xfId="0" quotePrefix="1" applyNumberFormat="1" applyFont="1" applyFill="1" applyBorder="1" applyAlignment="1" applyProtection="1"/>
    <xf numFmtId="0" fontId="4" fillId="3" borderId="9" xfId="0" applyNumberFormat="1" applyFont="1" applyFill="1" applyBorder="1" applyAlignment="1" applyProtection="1"/>
    <xf numFmtId="0" fontId="4" fillId="3" borderId="6" xfId="0" applyNumberFormat="1" applyFont="1" applyFill="1" applyBorder="1" applyAlignment="1" applyProtection="1"/>
    <xf numFmtId="0" fontId="4" fillId="3" borderId="1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/>
    <xf numFmtId="0" fontId="4" fillId="3" borderId="1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left"/>
    </xf>
    <xf numFmtId="0" fontId="4" fillId="3" borderId="0" xfId="0" applyNumberFormat="1" applyFont="1" applyFill="1" applyBorder="1" applyAlignment="1" applyProtection="1">
      <alignment horizontal="right"/>
    </xf>
    <xf numFmtId="0" fontId="4" fillId="3" borderId="0" xfId="0" applyNumberFormat="1" applyFont="1" applyFill="1" applyBorder="1" applyAlignment="1" applyProtection="1"/>
    <xf numFmtId="0" fontId="4" fillId="3" borderId="9" xfId="0" applyNumberFormat="1" applyFont="1" applyFill="1" applyBorder="1" applyAlignment="1" applyProtection="1">
      <alignment horizontal="left"/>
    </xf>
    <xf numFmtId="0" fontId="4" fillId="3" borderId="7" xfId="0" applyNumberFormat="1" applyFont="1" applyFill="1" applyBorder="1" applyAlignment="1" applyProtection="1">
      <alignment horizontal="left"/>
    </xf>
    <xf numFmtId="0" fontId="4" fillId="3" borderId="8" xfId="0" applyNumberFormat="1" applyFont="1" applyFill="1" applyBorder="1" applyAlignment="1" applyProtection="1">
      <alignment horizontal="left"/>
    </xf>
    <xf numFmtId="0" fontId="0" fillId="0" borderId="0" xfId="0" applyProtection="1"/>
    <xf numFmtId="164" fontId="4" fillId="3" borderId="10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0" fillId="4" borderId="5" xfId="0" applyFill="1" applyBorder="1" applyAlignment="1" applyProtection="1">
      <alignment horizontal="left"/>
    </xf>
    <xf numFmtId="164" fontId="0" fillId="4" borderId="5" xfId="0" applyNumberFormat="1" applyFill="1" applyBorder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4" fontId="0" fillId="4" borderId="0" xfId="0" applyNumberFormat="1" applyFill="1" applyAlignment="1" applyProtection="1">
      <alignment horizontal="left"/>
    </xf>
    <xf numFmtId="167" fontId="4" fillId="5" borderId="10" xfId="0" applyNumberFormat="1" applyFont="1" applyFill="1" applyBorder="1" applyAlignment="1" applyProtection="1">
      <alignment horizontal="center" vertical="center"/>
    </xf>
    <xf numFmtId="167" fontId="4" fillId="5" borderId="10" xfId="0" applyNumberFormat="1" applyFont="1" applyFill="1" applyBorder="1" applyAlignment="1" applyProtection="1">
      <alignment horizontal="left" vertical="center"/>
    </xf>
    <xf numFmtId="168" fontId="4" fillId="5" borderId="10" xfId="0" applyNumberFormat="1" applyFont="1" applyFill="1" applyBorder="1" applyAlignment="1" applyProtection="1">
      <alignment horizontal="center" vertical="center"/>
    </xf>
    <xf numFmtId="170" fontId="4" fillId="5" borderId="7" xfId="1" applyNumberFormat="1" applyFont="1" applyFill="1" applyBorder="1" applyAlignment="1" applyProtection="1">
      <alignment horizontal="center" vertical="center"/>
    </xf>
    <xf numFmtId="170" fontId="4" fillId="5" borderId="10" xfId="1" applyNumberFormat="1" applyFont="1" applyFill="1" applyBorder="1" applyAlignment="1" applyProtection="1">
      <alignment horizontal="center" vertical="center"/>
    </xf>
    <xf numFmtId="170" fontId="4" fillId="5" borderId="14" xfId="1" applyNumberFormat="1" applyFont="1" applyFill="1" applyBorder="1" applyAlignment="1" applyProtection="1">
      <alignment horizontal="center" vertical="center"/>
    </xf>
    <xf numFmtId="167" fontId="7" fillId="5" borderId="7" xfId="0" applyNumberFormat="1" applyFont="1" applyFill="1" applyBorder="1" applyAlignment="1" applyProtection="1">
      <alignment horizontal="left" vertical="center"/>
    </xf>
    <xf numFmtId="167" fontId="4" fillId="5" borderId="0" xfId="0" applyNumberFormat="1" applyFont="1" applyFill="1" applyBorder="1" applyAlignment="1" applyProtection="1">
      <alignment horizontal="center" vertical="center"/>
    </xf>
    <xf numFmtId="172" fontId="4" fillId="5" borderId="10" xfId="1" applyNumberFormat="1" applyFont="1" applyFill="1" applyBorder="1" applyAlignment="1" applyProtection="1">
      <alignment horizontal="center" vertical="center"/>
    </xf>
    <xf numFmtId="172" fontId="4" fillId="5" borderId="7" xfId="1" applyNumberFormat="1" applyFont="1" applyFill="1" applyBorder="1" applyAlignment="1" applyProtection="1">
      <alignment horizontal="center" vertical="center"/>
    </xf>
    <xf numFmtId="172" fontId="4" fillId="5" borderId="14" xfId="1" applyNumberFormat="1" applyFont="1" applyFill="1" applyBorder="1" applyAlignment="1" applyProtection="1">
      <alignment horizontal="center" vertical="center"/>
    </xf>
    <xf numFmtId="173" fontId="4" fillId="5" borderId="10" xfId="1" applyNumberFormat="1" applyFont="1" applyFill="1" applyBorder="1" applyAlignment="1" applyProtection="1">
      <alignment horizontal="center" vertical="center"/>
    </xf>
    <xf numFmtId="173" fontId="4" fillId="5" borderId="7" xfId="1" applyNumberFormat="1" applyFont="1" applyFill="1" applyBorder="1" applyAlignment="1" applyProtection="1">
      <alignment horizontal="center" vertical="center"/>
    </xf>
    <xf numFmtId="173" fontId="4" fillId="5" borderId="14" xfId="1" applyNumberFormat="1" applyFont="1" applyFill="1" applyBorder="1" applyAlignment="1" applyProtection="1">
      <alignment horizontal="center" vertical="center"/>
    </xf>
    <xf numFmtId="175" fontId="4" fillId="5" borderId="10" xfId="1" applyNumberFormat="1" applyFont="1" applyFill="1" applyBorder="1" applyAlignment="1" applyProtection="1">
      <alignment horizontal="center" vertical="center"/>
    </xf>
    <xf numFmtId="174" fontId="4" fillId="5" borderId="10" xfId="1" applyNumberFormat="1" applyFont="1" applyFill="1" applyBorder="1" applyAlignment="1" applyProtection="1">
      <alignment horizontal="center" vertical="center"/>
    </xf>
    <xf numFmtId="174" fontId="4" fillId="5" borderId="7" xfId="1" applyNumberFormat="1" applyFont="1" applyFill="1" applyBorder="1" applyAlignment="1" applyProtection="1">
      <alignment horizontal="center" vertical="center"/>
    </xf>
    <xf numFmtId="174" fontId="4" fillId="5" borderId="14" xfId="1" applyNumberFormat="1" applyFont="1" applyFill="1" applyBorder="1" applyAlignment="1" applyProtection="1">
      <alignment horizontal="center" vertical="center"/>
    </xf>
    <xf numFmtId="176" fontId="4" fillId="5" borderId="10" xfId="1" applyNumberFormat="1" applyFont="1" applyFill="1" applyBorder="1" applyAlignment="1" applyProtection="1">
      <alignment horizontal="center" vertical="center"/>
    </xf>
    <xf numFmtId="176" fontId="4" fillId="5" borderId="7" xfId="1" applyNumberFormat="1" applyFont="1" applyFill="1" applyBorder="1" applyAlignment="1" applyProtection="1">
      <alignment horizontal="center" vertical="center"/>
    </xf>
    <xf numFmtId="176" fontId="4" fillId="5" borderId="15" xfId="1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2" fillId="0" borderId="0" xfId="0" applyFont="1" applyProtection="1"/>
    <xf numFmtId="171" fontId="4" fillId="2" borderId="10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indent="1"/>
      <protection locked="0"/>
    </xf>
    <xf numFmtId="166" fontId="0" fillId="0" borderId="0" xfId="0" applyNumberFormat="1" applyProtection="1"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Protection="1">
      <protection locked="0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164" fontId="4" fillId="0" borderId="0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/>
      <protection locked="0"/>
    </xf>
    <xf numFmtId="166" fontId="2" fillId="0" borderId="0" xfId="0" applyNumberFormat="1" applyFont="1" applyProtection="1">
      <protection locked="0"/>
    </xf>
    <xf numFmtId="10" fontId="0" fillId="0" borderId="0" xfId="0" applyNumberFormat="1" applyProtection="1">
      <protection locked="0"/>
    </xf>
    <xf numFmtId="170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Protection="1"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169" fontId="0" fillId="0" borderId="0" xfId="1" applyNumberFormat="1" applyFont="1" applyProtection="1"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14" xfId="0" applyNumberFormat="1" applyFont="1" applyFill="1" applyBorder="1" applyAlignment="1" applyProtection="1">
      <alignment horizontal="center" vertical="center"/>
      <protection locked="0"/>
    </xf>
    <xf numFmtId="2" fontId="4" fillId="5" borderId="10" xfId="0" applyNumberFormat="1" applyFont="1" applyFill="1" applyBorder="1" applyAlignment="1" applyProtection="1">
      <alignment horizontal="center"/>
    </xf>
    <xf numFmtId="2" fontId="4" fillId="5" borderId="7" xfId="0" applyNumberFormat="1" applyFont="1" applyFill="1" applyBorder="1" applyAlignment="1" applyProtection="1">
      <alignment horizontal="center"/>
    </xf>
    <xf numFmtId="2" fontId="4" fillId="5" borderId="14" xfId="0" applyNumberFormat="1" applyFont="1" applyFill="1" applyBorder="1" applyAlignment="1" applyProtection="1">
      <alignment horizontal="center"/>
    </xf>
    <xf numFmtId="167" fontId="4" fillId="5" borderId="7" xfId="0" applyNumberFormat="1" applyFont="1" applyFill="1" applyBorder="1" applyAlignment="1" applyProtection="1">
      <alignment horizontal="left"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171" fontId="4" fillId="5" borderId="23" xfId="1" applyNumberFormat="1" applyFont="1" applyFill="1" applyBorder="1" applyAlignment="1" applyProtection="1">
      <alignment horizontal="center" vertical="center"/>
    </xf>
    <xf numFmtId="171" fontId="4" fillId="5" borderId="24" xfId="1" applyNumberFormat="1" applyFont="1" applyFill="1" applyBorder="1" applyAlignment="1" applyProtection="1">
      <alignment horizontal="center" vertical="center"/>
    </xf>
    <xf numFmtId="171" fontId="4" fillId="5" borderId="18" xfId="1" applyNumberFormat="1" applyFont="1" applyFill="1" applyBorder="1" applyAlignment="1" applyProtection="1">
      <alignment horizontal="center" vertical="center"/>
    </xf>
    <xf numFmtId="172" fontId="4" fillId="5" borderId="11" xfId="1" applyNumberFormat="1" applyFont="1" applyFill="1" applyBorder="1" applyAlignment="1" applyProtection="1">
      <alignment horizontal="center" vertical="center"/>
    </xf>
    <xf numFmtId="172" fontId="4" fillId="5" borderId="4" xfId="1" applyNumberFormat="1" applyFont="1" applyFill="1" applyBorder="1" applyAlignment="1" applyProtection="1">
      <alignment horizontal="center" vertical="center"/>
    </xf>
    <xf numFmtId="172" fontId="4" fillId="5" borderId="26" xfId="1" applyNumberFormat="1" applyFont="1" applyFill="1" applyBorder="1" applyAlignment="1" applyProtection="1">
      <alignment horizontal="center" vertical="center"/>
    </xf>
    <xf numFmtId="173" fontId="4" fillId="5" borderId="23" xfId="1" applyNumberFormat="1" applyFont="1" applyFill="1" applyBorder="1" applyAlignment="1" applyProtection="1">
      <alignment horizontal="center" vertical="center"/>
    </xf>
    <xf numFmtId="173" fontId="4" fillId="5" borderId="24" xfId="1" applyNumberFormat="1" applyFont="1" applyFill="1" applyBorder="1" applyAlignment="1" applyProtection="1">
      <alignment horizontal="center" vertical="center"/>
    </xf>
    <xf numFmtId="173" fontId="4" fillId="5" borderId="18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167" fontId="4" fillId="5" borderId="7" xfId="0" applyNumberFormat="1" applyFont="1" applyFill="1" applyBorder="1" applyAlignment="1" applyProtection="1">
      <alignment horizontal="center" vertical="center"/>
    </xf>
    <xf numFmtId="170" fontId="4" fillId="5" borderId="11" xfId="1" applyNumberFormat="1" applyFont="1" applyFill="1" applyBorder="1" applyAlignment="1" applyProtection="1">
      <alignment horizontal="center" vertical="center"/>
    </xf>
    <xf numFmtId="170" fontId="4" fillId="5" borderId="4" xfId="1" applyNumberFormat="1" applyFont="1" applyFill="1" applyBorder="1" applyAlignment="1" applyProtection="1">
      <alignment horizontal="center" vertical="center"/>
    </xf>
    <xf numFmtId="170" fontId="4" fillId="5" borderId="26" xfId="1" applyNumberFormat="1" applyFont="1" applyFill="1" applyBorder="1" applyAlignment="1" applyProtection="1">
      <alignment horizontal="center" vertical="center"/>
    </xf>
    <xf numFmtId="169" fontId="4" fillId="5" borderId="37" xfId="1" applyNumberFormat="1" applyFont="1" applyFill="1" applyBorder="1" applyAlignment="1" applyProtection="1">
      <alignment horizontal="center" vertical="center"/>
    </xf>
    <xf numFmtId="169" fontId="4" fillId="5" borderId="38" xfId="1" applyNumberFormat="1" applyFont="1" applyFill="1" applyBorder="1" applyAlignment="1" applyProtection="1">
      <alignment horizontal="center" vertical="center"/>
    </xf>
    <xf numFmtId="169" fontId="4" fillId="5" borderId="15" xfId="1" applyNumberFormat="1" applyFont="1" applyFill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10" fontId="0" fillId="0" borderId="43" xfId="0" applyNumberFormat="1" applyBorder="1" applyAlignment="1" applyProtection="1">
      <alignment horizontal="center"/>
      <protection locked="0"/>
    </xf>
    <xf numFmtId="10" fontId="0" fillId="0" borderId="45" xfId="0" applyNumberFormat="1" applyBorder="1" applyAlignment="1" applyProtection="1">
      <alignment horizontal="center"/>
      <protection locked="0"/>
    </xf>
    <xf numFmtId="10" fontId="0" fillId="0" borderId="44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0" fontId="0" fillId="0" borderId="13" xfId="1" applyNumberFormat="1" applyFont="1" applyBorder="1" applyAlignment="1" applyProtection="1">
      <alignment horizontal="center"/>
      <protection locked="0"/>
    </xf>
    <xf numFmtId="10" fontId="0" fillId="0" borderId="14" xfId="1" applyNumberFormat="1" applyFont="1" applyBorder="1" applyAlignment="1" applyProtection="1">
      <alignment horizontal="center"/>
      <protection locked="0"/>
    </xf>
    <xf numFmtId="10" fontId="0" fillId="0" borderId="15" xfId="1" applyNumberFormat="1" applyFont="1" applyBorder="1" applyAlignment="1" applyProtection="1">
      <alignment horizontal="center"/>
      <protection locked="0"/>
    </xf>
    <xf numFmtId="0" fontId="2" fillId="0" borderId="41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Font="1" applyProtection="1"/>
    <xf numFmtId="173" fontId="0" fillId="0" borderId="0" xfId="0" applyNumberFormat="1" applyAlignment="1">
      <alignment horizontal="center"/>
    </xf>
    <xf numFmtId="0" fontId="0" fillId="6" borderId="0" xfId="0" applyFill="1" applyProtection="1">
      <protection locked="0"/>
    </xf>
    <xf numFmtId="10" fontId="0" fillId="0" borderId="0" xfId="0" applyNumberFormat="1"/>
    <xf numFmtId="177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164" fontId="4" fillId="4" borderId="34" xfId="0" applyNumberFormat="1" applyFont="1" applyFill="1" applyBorder="1" applyAlignment="1" applyProtection="1">
      <alignment horizontal="center" vertical="center"/>
      <protection locked="0"/>
    </xf>
    <xf numFmtId="164" fontId="4" fillId="4" borderId="36" xfId="0" applyNumberFormat="1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164" fontId="4" fillId="7" borderId="17" xfId="0" applyNumberFormat="1" applyFont="1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33" xfId="0" applyNumberFormat="1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164" fontId="4" fillId="4" borderId="33" xfId="0" applyNumberFormat="1" applyFont="1" applyFill="1" applyBorder="1" applyAlignment="1" applyProtection="1">
      <alignment horizontal="center" vertical="center"/>
      <protection locked="0"/>
    </xf>
    <xf numFmtId="164" fontId="4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35" xfId="0" applyNumberFormat="1" applyFont="1" applyFill="1" applyBorder="1" applyAlignment="1" applyProtection="1">
      <alignment horizontal="center" vertical="center"/>
      <protection locked="0"/>
    </xf>
    <xf numFmtId="164" fontId="4" fillId="4" borderId="17" xfId="0" applyNumberFormat="1" applyFont="1" applyFill="1" applyBorder="1" applyAlignment="1" applyProtection="1">
      <alignment horizontal="center" vertical="center"/>
      <protection locked="0"/>
    </xf>
    <xf numFmtId="0" fontId="4" fillId="8" borderId="31" xfId="0" applyFont="1" applyFill="1" applyBorder="1" applyAlignment="1" applyProtection="1">
      <alignment horizontal="center"/>
      <protection locked="0"/>
    </xf>
    <xf numFmtId="0" fontId="4" fillId="8" borderId="7" xfId="0" applyFont="1" applyFill="1" applyBorder="1" applyAlignment="1" applyProtection="1">
      <alignment horizontal="center"/>
      <protection locked="0"/>
    </xf>
    <xf numFmtId="164" fontId="4" fillId="8" borderId="7" xfId="0" applyNumberFormat="1" applyFont="1" applyFill="1" applyBorder="1" applyAlignment="1" applyProtection="1">
      <alignment horizontal="center" vertical="center"/>
      <protection locked="0"/>
    </xf>
    <xf numFmtId="164" fontId="4" fillId="8" borderId="16" xfId="0" applyNumberFormat="1" applyFont="1" applyFill="1" applyBorder="1" applyAlignment="1" applyProtection="1">
      <alignment horizontal="center" vertical="center"/>
      <protection locked="0"/>
    </xf>
    <xf numFmtId="10" fontId="0" fillId="0" borderId="0" xfId="0" applyNumberFormat="1" applyFill="1" applyProtection="1">
      <protection locked="0"/>
    </xf>
    <xf numFmtId="169" fontId="0" fillId="0" borderId="0" xfId="1" applyNumberFormat="1" applyFont="1" applyFill="1" applyProtection="1">
      <protection locked="0"/>
    </xf>
    <xf numFmtId="0" fontId="4" fillId="0" borderId="32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34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164" fontId="4" fillId="0" borderId="34" xfId="0" applyNumberFormat="1" applyFont="1" applyFill="1" applyBorder="1" applyAlignment="1" applyProtection="1">
      <alignment horizontal="center" vertical="center"/>
      <protection locked="0"/>
    </xf>
    <xf numFmtId="164" fontId="4" fillId="0" borderId="14" xfId="0" applyNumberFormat="1" applyFont="1" applyFill="1" applyBorder="1" applyAlignment="1" applyProtection="1">
      <alignment horizontal="center" vertical="center"/>
      <protection locked="0"/>
    </xf>
    <xf numFmtId="164" fontId="4" fillId="0" borderId="36" xfId="0" applyNumberFormat="1" applyFont="1" applyFill="1" applyBorder="1" applyAlignment="1" applyProtection="1">
      <alignment horizontal="center" vertical="center"/>
      <protection locked="0"/>
    </xf>
    <xf numFmtId="164" fontId="4" fillId="0" borderId="17" xfId="0" applyNumberFormat="1" applyFont="1" applyFill="1" applyBorder="1" applyAlignment="1" applyProtection="1">
      <alignment horizontal="center" vertical="center"/>
      <protection locked="0"/>
    </xf>
    <xf numFmtId="169" fontId="4" fillId="5" borderId="39" xfId="1" applyNumberFormat="1" applyFont="1" applyFill="1" applyBorder="1" applyAlignment="1" applyProtection="1">
      <alignment horizontal="center" vertical="center"/>
    </xf>
    <xf numFmtId="169" fontId="4" fillId="5" borderId="40" xfId="1" applyNumberFormat="1" applyFont="1" applyFill="1" applyBorder="1" applyAlignment="1" applyProtection="1">
      <alignment horizontal="center" vertical="center"/>
    </xf>
    <xf numFmtId="170" fontId="4" fillId="5" borderId="5" xfId="1" applyNumberFormat="1" applyFont="1" applyFill="1" applyBorder="1" applyAlignment="1" applyProtection="1">
      <alignment horizontal="center" vertical="center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70" fontId="4" fillId="5" borderId="9" xfId="1" applyNumberFormat="1" applyFont="1" applyFill="1" applyBorder="1" applyAlignment="1" applyProtection="1">
      <alignment horizontal="center" vertical="center"/>
    </xf>
    <xf numFmtId="172" fontId="4" fillId="5" borderId="9" xfId="1" applyNumberFormat="1" applyFont="1" applyFill="1" applyBorder="1" applyAlignment="1" applyProtection="1">
      <alignment horizontal="center" vertical="center"/>
    </xf>
    <xf numFmtId="172" fontId="4" fillId="5" borderId="19" xfId="1" applyNumberFormat="1" applyFont="1" applyFill="1" applyBorder="1" applyAlignment="1" applyProtection="1">
      <alignment horizontal="center" vertical="center"/>
    </xf>
    <xf numFmtId="172" fontId="4" fillId="5" borderId="20" xfId="1" applyNumberFormat="1" applyFont="1" applyFill="1" applyBorder="1" applyAlignment="1" applyProtection="1">
      <alignment horizontal="center" vertical="center"/>
    </xf>
    <xf numFmtId="172" fontId="4" fillId="5" borderId="12" xfId="1" applyNumberFormat="1" applyFont="1" applyFill="1" applyBorder="1" applyAlignment="1" applyProtection="1">
      <alignment horizontal="center" vertical="center"/>
    </xf>
    <xf numFmtId="172" fontId="4" fillId="5" borderId="21" xfId="1" applyNumberFormat="1" applyFont="1" applyFill="1" applyBorder="1" applyAlignment="1" applyProtection="1">
      <alignment horizontal="center" vertical="center"/>
    </xf>
    <xf numFmtId="172" fontId="4" fillId="5" borderId="22" xfId="1" applyNumberFormat="1" applyFont="1" applyFill="1" applyBorder="1" applyAlignment="1" applyProtection="1">
      <alignment horizontal="center" vertical="center"/>
    </xf>
    <xf numFmtId="172" fontId="4" fillId="5" borderId="18" xfId="1" applyNumberFormat="1" applyFont="1" applyFill="1" applyBorder="1" applyAlignment="1" applyProtection="1">
      <alignment horizontal="center" vertical="center"/>
    </xf>
    <xf numFmtId="2" fontId="4" fillId="5" borderId="9" xfId="0" applyNumberFormat="1" applyFont="1" applyFill="1" applyBorder="1" applyAlignment="1" applyProtection="1">
      <alignment horizontal="center"/>
    </xf>
    <xf numFmtId="171" fontId="4" fillId="5" borderId="25" xfId="1" applyNumberFormat="1" applyFont="1" applyFill="1" applyBorder="1" applyAlignment="1" applyProtection="1">
      <alignment horizontal="center" vertical="center"/>
    </xf>
    <xf numFmtId="172" fontId="4" fillId="5" borderId="6" xfId="1" applyNumberFormat="1" applyFont="1" applyFill="1" applyBorder="1" applyAlignment="1" applyProtection="1">
      <alignment horizontal="center" vertical="center"/>
    </xf>
    <xf numFmtId="173" fontId="4" fillId="5" borderId="25" xfId="1" applyNumberFormat="1" applyFont="1" applyFill="1" applyBorder="1" applyAlignment="1" applyProtection="1">
      <alignment horizontal="center" vertical="center"/>
    </xf>
    <xf numFmtId="173" fontId="4" fillId="5" borderId="9" xfId="1" applyNumberFormat="1" applyFont="1" applyFill="1" applyBorder="1" applyAlignment="1" applyProtection="1">
      <alignment horizontal="center" vertical="center"/>
    </xf>
    <xf numFmtId="174" fontId="4" fillId="5" borderId="9" xfId="1" applyNumberFormat="1" applyFont="1" applyFill="1" applyBorder="1" applyAlignment="1" applyProtection="1">
      <alignment horizontal="center" vertical="center"/>
    </xf>
    <xf numFmtId="176" fontId="4" fillId="5" borderId="9" xfId="1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/>
    </xf>
    <xf numFmtId="0" fontId="4" fillId="3" borderId="9" xfId="0" applyNumberFormat="1" applyFont="1" applyFill="1" applyBorder="1" applyAlignment="1" applyProtection="1">
      <alignment horizontal="center"/>
    </xf>
    <xf numFmtId="0" fontId="0" fillId="4" borderId="0" xfId="0" applyFill="1" applyProtection="1">
      <protection locked="0"/>
    </xf>
    <xf numFmtId="0" fontId="8" fillId="0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0" fillId="9" borderId="46" xfId="0" applyFill="1" applyBorder="1" applyProtection="1">
      <protection locked="0"/>
    </xf>
    <xf numFmtId="0" fontId="0" fillId="9" borderId="47" xfId="0" applyFill="1" applyBorder="1" applyProtection="1">
      <protection locked="0"/>
    </xf>
    <xf numFmtId="0" fontId="2" fillId="9" borderId="47" xfId="0" applyFont="1" applyFill="1" applyBorder="1" applyProtection="1">
      <protection locked="0"/>
    </xf>
    <xf numFmtId="0" fontId="0" fillId="9" borderId="48" xfId="0" applyFill="1" applyBorder="1" applyProtection="1">
      <protection locked="0"/>
    </xf>
    <xf numFmtId="0" fontId="0" fillId="9" borderId="49" xfId="0" applyFill="1" applyBorder="1" applyProtection="1">
      <protection locked="0"/>
    </xf>
    <xf numFmtId="0" fontId="2" fillId="9" borderId="0" xfId="0" applyFont="1" applyFill="1" applyBorder="1" applyProtection="1">
      <protection locked="0"/>
    </xf>
    <xf numFmtId="0" fontId="0" fillId="9" borderId="0" xfId="0" applyFill="1" applyBorder="1" applyProtection="1">
      <protection locked="0"/>
    </xf>
    <xf numFmtId="0" fontId="0" fillId="9" borderId="27" xfId="0" applyFill="1" applyBorder="1" applyProtection="1">
      <protection locked="0"/>
    </xf>
    <xf numFmtId="1" fontId="0" fillId="9" borderId="0" xfId="0" applyNumberFormat="1" applyFill="1" applyBorder="1" applyProtection="1">
      <protection locked="0"/>
    </xf>
    <xf numFmtId="0" fontId="0" fillId="9" borderId="50" xfId="0" applyFill="1" applyBorder="1" applyProtection="1">
      <protection locked="0"/>
    </xf>
    <xf numFmtId="0" fontId="0" fillId="9" borderId="51" xfId="0" applyFill="1" applyBorder="1" applyProtection="1">
      <protection locked="0"/>
    </xf>
    <xf numFmtId="0" fontId="2" fillId="9" borderId="52" xfId="0" applyFont="1" applyFill="1" applyBorder="1" applyProtection="1">
      <protection locked="0"/>
    </xf>
    <xf numFmtId="0" fontId="4" fillId="9" borderId="0" xfId="0" applyFont="1" applyFill="1" applyBorder="1" applyProtection="1">
      <protection locked="0"/>
    </xf>
    <xf numFmtId="178" fontId="0" fillId="9" borderId="0" xfId="0" applyNumberFormat="1" applyFill="1" applyBorder="1" applyProtection="1">
      <protection locked="0"/>
    </xf>
    <xf numFmtId="0" fontId="0" fillId="0" borderId="46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Border="1" applyProtection="1"/>
    <xf numFmtId="0" fontId="0" fillId="0" borderId="27" xfId="0" applyBorder="1" applyProtection="1"/>
    <xf numFmtId="0" fontId="0" fillId="0" borderId="50" xfId="0" applyBorder="1" applyProtection="1"/>
    <xf numFmtId="0" fontId="0" fillId="0" borderId="51" xfId="0" applyBorder="1" applyProtection="1"/>
    <xf numFmtId="0" fontId="0" fillId="0" borderId="52" xfId="0" applyBorder="1" applyProtection="1"/>
    <xf numFmtId="179" fontId="4" fillId="2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/>
    <xf numFmtId="1" fontId="0" fillId="0" borderId="0" xfId="0" applyNumberFormat="1" applyProtection="1">
      <protection locked="0"/>
    </xf>
    <xf numFmtId="0" fontId="4" fillId="3" borderId="10" xfId="0" applyNumberFormat="1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3" borderId="4" xfId="0" applyNumberFormat="1" applyFont="1" applyFill="1" applyBorder="1" applyAlignment="1" applyProtection="1">
      <alignment horizontal="center"/>
    </xf>
    <xf numFmtId="0" fontId="4" fillId="3" borderId="6" xfId="0" applyNumberFormat="1" applyFont="1" applyFill="1" applyBorder="1" applyAlignment="1" applyProtection="1">
      <alignment horizontal="center"/>
    </xf>
    <xf numFmtId="0" fontId="4" fillId="3" borderId="7" xfId="0" applyNumberFormat="1" applyFont="1" applyFill="1" applyBorder="1" applyAlignment="1" applyProtection="1">
      <alignment horizontal="left"/>
    </xf>
    <xf numFmtId="0" fontId="4" fillId="3" borderId="8" xfId="0" applyNumberFormat="1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/>
    </xf>
    <xf numFmtId="170" fontId="4" fillId="5" borderId="1" xfId="0" applyNumberFormat="1" applyFont="1" applyFill="1" applyBorder="1" applyAlignment="1" applyProtection="1">
      <alignment horizontal="center" vertical="center"/>
    </xf>
    <xf numFmtId="170" fontId="4" fillId="5" borderId="2" xfId="0" applyNumberFormat="1" applyFont="1" applyFill="1" applyBorder="1" applyAlignment="1" applyProtection="1">
      <alignment horizontal="center" vertical="center"/>
    </xf>
    <xf numFmtId="170" fontId="4" fillId="5" borderId="3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169" fontId="4" fillId="5" borderId="7" xfId="1" applyNumberFormat="1" applyFont="1" applyFill="1" applyBorder="1" applyAlignment="1" applyProtection="1">
      <alignment horizontal="left" vertical="center"/>
    </xf>
    <xf numFmtId="169" fontId="4" fillId="5" borderId="9" xfId="1" applyNumberFormat="1" applyFont="1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167" fontId="0" fillId="0" borderId="28" xfId="0" applyNumberFormat="1" applyBorder="1" applyAlignment="1" applyProtection="1">
      <alignment horizontal="center"/>
    </xf>
    <xf numFmtId="167" fontId="0" fillId="0" borderId="29" xfId="0" applyNumberFormat="1" applyBorder="1" applyAlignment="1" applyProtection="1">
      <alignment horizontal="center"/>
    </xf>
  </cellXfs>
  <cellStyles count="3">
    <cellStyle name="Prozent" xfId="1" builtinId="5"/>
    <cellStyle name="Standard" xfId="0" builtinId="0"/>
    <cellStyle name="Standard 2" xfId="2"/>
  </cellStyles>
  <dxfs count="18"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C0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3300"/>
      </font>
    </dxf>
  </dxfs>
  <tableStyles count="0" defaultTableStyle="TableStyleMedium2" defaultPivotStyle="PivotStyleLight16"/>
  <colors>
    <mruColors>
      <color rgb="FFFF3300"/>
      <color rgb="FFFFFF99"/>
      <color rgb="FFFFFFCC"/>
      <color rgb="FFB4F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Typical collector efficiencies</a:t>
            </a:r>
          </a:p>
        </c:rich>
      </c:tx>
      <c:layout>
        <c:manualLayout>
          <c:xMode val="edge"/>
          <c:yMode val="edge"/>
          <c:x val="0.30230714167722061"/>
          <c:y val="3.5888077858880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17543318221454"/>
          <c:y val="0.13868622406644551"/>
          <c:w val="0.81351813900392278"/>
          <c:h val="0.613139095872706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Kollektorvergleich!$D$19</c:f>
              <c:strCache>
                <c:ptCount val="1"/>
                <c:pt idx="0">
                  <c:v>C20 AR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Kollektorvergleich!$C$20:$C$41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Kollektorvergleich!$D$20:$D$41</c:f>
              <c:numCache>
                <c:formatCode>General</c:formatCode>
                <c:ptCount val="22"/>
                <c:pt idx="0">
                  <c:v>0.85399999999999987</c:v>
                </c:pt>
                <c:pt idx="1">
                  <c:v>0.76844999999999997</c:v>
                </c:pt>
                <c:pt idx="2">
                  <c:v>0.6802999999999999</c:v>
                </c:pt>
                <c:pt idx="3">
                  <c:v>0.5895499999999998</c:v>
                </c:pt>
                <c:pt idx="4">
                  <c:v>0.49619999999999992</c:v>
                </c:pt>
                <c:pt idx="5">
                  <c:v>0.40024999999999994</c:v>
                </c:pt>
                <c:pt idx="6">
                  <c:v>0.30169999999999986</c:v>
                </c:pt>
                <c:pt idx="7">
                  <c:v>0.2005499999999999</c:v>
                </c:pt>
                <c:pt idx="8">
                  <c:v>9.6799999999999858E-2</c:v>
                </c:pt>
                <c:pt idx="9">
                  <c:v>-9.550000000000107E-3</c:v>
                </c:pt>
                <c:pt idx="10">
                  <c:v>-0.11850000000000009</c:v>
                </c:pt>
                <c:pt idx="11">
                  <c:v>-0.23005000000000003</c:v>
                </c:pt>
                <c:pt idx="12">
                  <c:v>-0.34420000000000017</c:v>
                </c:pt>
                <c:pt idx="13">
                  <c:v>-0.46095000000000014</c:v>
                </c:pt>
                <c:pt idx="14">
                  <c:v>-0.58030000000000015</c:v>
                </c:pt>
                <c:pt idx="15">
                  <c:v>-0.70225000000000004</c:v>
                </c:pt>
                <c:pt idx="16">
                  <c:v>-0.8268000000000002</c:v>
                </c:pt>
                <c:pt idx="17">
                  <c:v>-0.95395000000000008</c:v>
                </c:pt>
                <c:pt idx="18">
                  <c:v>-1.0837000000000001</c:v>
                </c:pt>
                <c:pt idx="19">
                  <c:v>-1.2160500000000001</c:v>
                </c:pt>
                <c:pt idx="20">
                  <c:v>-1.3510000000000002</c:v>
                </c:pt>
                <c:pt idx="21">
                  <c:v>-1.4885500000000003</c:v>
                </c:pt>
              </c:numCache>
            </c:numRef>
          </c:yVal>
          <c:smooth val="1"/>
        </c:ser>
        <c:ser>
          <c:idx val="4"/>
          <c:order val="1"/>
          <c:tx>
            <c:strRef>
              <c:f>Kollektorvergleich!$E$19</c:f>
              <c:strCache>
                <c:ptCount val="1"/>
                <c:pt idx="0">
                  <c:v>Aqua Plasma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Kollektorvergleich!$C$20:$C$42</c:f>
              <c:numCache>
                <c:formatCode>General</c:formatCode>
                <c:ptCount val="2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29</c:v>
                </c:pt>
              </c:numCache>
            </c:numRef>
          </c:xVal>
          <c:yVal>
            <c:numRef>
              <c:f>Kollektorvergleich!$E$20:$E$42</c:f>
              <c:numCache>
                <c:formatCode>General</c:formatCode>
                <c:ptCount val="23"/>
                <c:pt idx="0">
                  <c:v>0.68700000000000006</c:v>
                </c:pt>
                <c:pt idx="1">
                  <c:v>0.67130000000000012</c:v>
                </c:pt>
                <c:pt idx="2">
                  <c:v>0.65485000000000004</c:v>
                </c:pt>
                <c:pt idx="3">
                  <c:v>0.63765000000000005</c:v>
                </c:pt>
                <c:pt idx="4">
                  <c:v>0.61970000000000003</c:v>
                </c:pt>
                <c:pt idx="5">
                  <c:v>0.60099999999999998</c:v>
                </c:pt>
                <c:pt idx="6">
                  <c:v>0.58155000000000001</c:v>
                </c:pt>
                <c:pt idx="7">
                  <c:v>0.56135000000000002</c:v>
                </c:pt>
                <c:pt idx="8">
                  <c:v>0.5404000000000001</c:v>
                </c:pt>
                <c:pt idx="9">
                  <c:v>0.51869999999999994</c:v>
                </c:pt>
                <c:pt idx="10">
                  <c:v>0.49625000000000002</c:v>
                </c:pt>
                <c:pt idx="11">
                  <c:v>0.47304999999999997</c:v>
                </c:pt>
                <c:pt idx="12">
                  <c:v>0.44910000000000005</c:v>
                </c:pt>
                <c:pt idx="13">
                  <c:v>0.42440000000000005</c:v>
                </c:pt>
                <c:pt idx="14">
                  <c:v>0.39895000000000003</c:v>
                </c:pt>
                <c:pt idx="15">
                  <c:v>0.37275000000000008</c:v>
                </c:pt>
                <c:pt idx="16">
                  <c:v>0.34580000000000005</c:v>
                </c:pt>
                <c:pt idx="17">
                  <c:v>0.3181000000000001</c:v>
                </c:pt>
                <c:pt idx="18">
                  <c:v>0.28965000000000002</c:v>
                </c:pt>
                <c:pt idx="19">
                  <c:v>0.26045000000000001</c:v>
                </c:pt>
                <c:pt idx="20">
                  <c:v>0.23050000000000004</c:v>
                </c:pt>
                <c:pt idx="21">
                  <c:v>0.19980000000000003</c:v>
                </c:pt>
                <c:pt idx="22" formatCode="0.000">
                  <c:v>0.58550000000000002</c:v>
                </c:pt>
              </c:numCache>
            </c:numRef>
          </c:yVal>
          <c:smooth val="1"/>
        </c:ser>
        <c:ser>
          <c:idx val="1"/>
          <c:order val="2"/>
          <c:tx>
            <c:strRef>
              <c:f>Kollektorvergleich!$F$19</c:f>
              <c:strCache>
                <c:ptCount val="1"/>
                <c:pt idx="0">
                  <c:v>XL 19/49 P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Kollektorvergleich!$C$20:$C$41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Kollektorvergleich!$F$20:$F$41</c:f>
              <c:numCache>
                <c:formatCode>General</c:formatCode>
                <c:ptCount val="22"/>
                <c:pt idx="0">
                  <c:v>0.68799999999999994</c:v>
                </c:pt>
                <c:pt idx="1">
                  <c:v>0.67305000000000004</c:v>
                </c:pt>
                <c:pt idx="2">
                  <c:v>0.65734999999999988</c:v>
                </c:pt>
                <c:pt idx="3">
                  <c:v>0.64089999999999991</c:v>
                </c:pt>
                <c:pt idx="4">
                  <c:v>0.62369999999999992</c:v>
                </c:pt>
                <c:pt idx="5">
                  <c:v>0.60575000000000001</c:v>
                </c:pt>
                <c:pt idx="6">
                  <c:v>0.58704999999999996</c:v>
                </c:pt>
                <c:pt idx="7">
                  <c:v>0.56759999999999999</c:v>
                </c:pt>
                <c:pt idx="8">
                  <c:v>0.5474</c:v>
                </c:pt>
                <c:pt idx="9">
                  <c:v>0.52644999999999997</c:v>
                </c:pt>
                <c:pt idx="10">
                  <c:v>0.50474999999999992</c:v>
                </c:pt>
                <c:pt idx="11">
                  <c:v>0.48229999999999995</c:v>
                </c:pt>
                <c:pt idx="12">
                  <c:v>0.45910000000000006</c:v>
                </c:pt>
                <c:pt idx="13">
                  <c:v>0.43514999999999998</c:v>
                </c:pt>
                <c:pt idx="14">
                  <c:v>0.41044999999999993</c:v>
                </c:pt>
                <c:pt idx="15">
                  <c:v>0.38500000000000001</c:v>
                </c:pt>
                <c:pt idx="16">
                  <c:v>0.35879999999999995</c:v>
                </c:pt>
                <c:pt idx="17">
                  <c:v>0.33184999999999998</c:v>
                </c:pt>
                <c:pt idx="18">
                  <c:v>0.30414999999999998</c:v>
                </c:pt>
                <c:pt idx="19">
                  <c:v>0.2757</c:v>
                </c:pt>
                <c:pt idx="20">
                  <c:v>0.2465</c:v>
                </c:pt>
                <c:pt idx="21">
                  <c:v>0.21654999999999994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Kollektorvergleich!$G$19</c:f>
              <c:strCache>
                <c:ptCount val="1"/>
                <c:pt idx="0">
                  <c:v>FK D1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Kollektorvergleich!$C$20:$C$41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Kollektorvergleich!$G$20:$G$41</c:f>
              <c:numCache>
                <c:formatCode>General</c:formatCode>
                <c:ptCount val="22"/>
                <c:pt idx="0">
                  <c:v>0.78600000000000003</c:v>
                </c:pt>
                <c:pt idx="1">
                  <c:v>0.69391250000000004</c:v>
                </c:pt>
                <c:pt idx="2">
                  <c:v>0.59915000000000018</c:v>
                </c:pt>
                <c:pt idx="3">
                  <c:v>0.50171250000000012</c:v>
                </c:pt>
                <c:pt idx="4">
                  <c:v>0.40160000000000012</c:v>
                </c:pt>
                <c:pt idx="5">
                  <c:v>0.29881250000000009</c:v>
                </c:pt>
                <c:pt idx="6">
                  <c:v>0.19335000000000016</c:v>
                </c:pt>
                <c:pt idx="7">
                  <c:v>8.5212500000000094E-2</c:v>
                </c:pt>
                <c:pt idx="8">
                  <c:v>-2.5599999999999845E-2</c:v>
                </c:pt>
                <c:pt idx="9">
                  <c:v>-0.13908749999999989</c:v>
                </c:pt>
                <c:pt idx="10">
                  <c:v>-0.25524999999999992</c:v>
                </c:pt>
                <c:pt idx="11">
                  <c:v>-0.37408749999999996</c:v>
                </c:pt>
                <c:pt idx="12">
                  <c:v>-0.49559999999999982</c:v>
                </c:pt>
                <c:pt idx="13">
                  <c:v>-0.61978749999999982</c:v>
                </c:pt>
                <c:pt idx="14">
                  <c:v>-0.74664999999999992</c:v>
                </c:pt>
                <c:pt idx="15">
                  <c:v>-0.8761874999999999</c:v>
                </c:pt>
                <c:pt idx="16">
                  <c:v>-1.0083999999999997</c:v>
                </c:pt>
                <c:pt idx="17">
                  <c:v>-1.1432874999999998</c:v>
                </c:pt>
                <c:pt idx="18">
                  <c:v>-1.2808499999999998</c:v>
                </c:pt>
                <c:pt idx="19">
                  <c:v>-1.4210874999999998</c:v>
                </c:pt>
                <c:pt idx="20">
                  <c:v>-1.5639999999999998</c:v>
                </c:pt>
                <c:pt idx="21">
                  <c:v>-1.7095874999999998</c:v>
                </c:pt>
              </c:numCache>
            </c:numRef>
          </c:yVal>
          <c:smooth val="1"/>
        </c:ser>
        <c:ser>
          <c:idx val="3"/>
          <c:order val="4"/>
          <c:tx>
            <c:strRef>
              <c:f>Kollektorvergleich!$H$19</c:f>
              <c:strCache>
                <c:ptCount val="1"/>
                <c:pt idx="0">
                  <c:v>MT-Power v3.11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Kollektorvergleich!$C$20:$C$41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Kollektorvergleich!$H$20:$H$41</c:f>
              <c:numCache>
                <c:formatCode>General</c:formatCode>
                <c:ptCount val="22"/>
                <c:pt idx="0">
                  <c:v>0.75900000000000001</c:v>
                </c:pt>
                <c:pt idx="1">
                  <c:v>0.745425</c:v>
                </c:pt>
                <c:pt idx="2">
                  <c:v>0.73010000000000008</c:v>
                </c:pt>
                <c:pt idx="3">
                  <c:v>0.71302500000000013</c:v>
                </c:pt>
                <c:pt idx="4">
                  <c:v>0.69420000000000004</c:v>
                </c:pt>
                <c:pt idx="5">
                  <c:v>0.67362500000000014</c:v>
                </c:pt>
                <c:pt idx="6">
                  <c:v>0.65129999999999999</c:v>
                </c:pt>
                <c:pt idx="7">
                  <c:v>0.62722500000000003</c:v>
                </c:pt>
                <c:pt idx="8">
                  <c:v>0.60140000000000005</c:v>
                </c:pt>
                <c:pt idx="9">
                  <c:v>0.57382500000000003</c:v>
                </c:pt>
                <c:pt idx="10">
                  <c:v>0.54449999999999998</c:v>
                </c:pt>
                <c:pt idx="11">
                  <c:v>0.51342500000000013</c:v>
                </c:pt>
                <c:pt idx="12">
                  <c:v>0.48060000000000003</c:v>
                </c:pt>
                <c:pt idx="13">
                  <c:v>0.446025</c:v>
                </c:pt>
                <c:pt idx="14">
                  <c:v>0.40970000000000001</c:v>
                </c:pt>
                <c:pt idx="15">
                  <c:v>0.37162500000000009</c:v>
                </c:pt>
                <c:pt idx="16">
                  <c:v>0.33180000000000009</c:v>
                </c:pt>
                <c:pt idx="17">
                  <c:v>0.29022500000000001</c:v>
                </c:pt>
                <c:pt idx="18">
                  <c:v>0.24690000000000004</c:v>
                </c:pt>
                <c:pt idx="19">
                  <c:v>0.20182500000000009</c:v>
                </c:pt>
                <c:pt idx="20">
                  <c:v>0.15500000000000008</c:v>
                </c:pt>
                <c:pt idx="21">
                  <c:v>0.10642500000000005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848536"/>
        <c:axId val="135138080"/>
      </c:scatterChart>
      <c:valAx>
        <c:axId val="31984853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Tm-Ta [K]</a:t>
                </a:r>
              </a:p>
            </c:rich>
          </c:tx>
          <c:layout>
            <c:manualLayout>
              <c:xMode val="edge"/>
              <c:yMode val="edge"/>
              <c:x val="0.48435626554190142"/>
              <c:y val="0.83394208479414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138080"/>
        <c:crosses val="autoZero"/>
        <c:crossBetween val="midCat"/>
        <c:majorUnit val="10"/>
        <c:minorUnit val="5"/>
      </c:valAx>
      <c:valAx>
        <c:axId val="1351380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Efficiency [-]</a:t>
                </a:r>
              </a:p>
            </c:rich>
          </c:tx>
          <c:layout>
            <c:manualLayout>
              <c:xMode val="edge"/>
              <c:yMode val="edge"/>
              <c:x val="2.3779724655819786E-2"/>
              <c:y val="0.330292210280284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19848536"/>
        <c:crosses val="autoZero"/>
        <c:crossBetween val="midCat"/>
        <c:majorUnit val="0.2"/>
        <c:min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67" l="0.78740157499999996" r="0.78740157499999996" t="0.98425196899999967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Einstrahlung</a:t>
            </a:r>
            <a:r>
              <a:rPr lang="de-DE" baseline="0"/>
              <a:t> siehe Berechnung</a:t>
            </a:r>
          </a:p>
        </c:rich>
      </c:tx>
      <c:layout>
        <c:manualLayout>
          <c:xMode val="edge"/>
          <c:yMode val="edge"/>
          <c:x val="0.28210386957672956"/>
          <c:y val="2.789904841920069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474885533227111"/>
          <c:y val="0.13291750000000005"/>
          <c:w val="0.81097380107994466"/>
          <c:h val="0.634193287037037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Kollektorvergleich!$D$44</c:f>
              <c:strCache>
                <c:ptCount val="1"/>
                <c:pt idx="0">
                  <c:v>C20 AR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Kollektorvergleich!$C$45:$C$66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Kollektorvergleich!$D$45:$D$66</c:f>
              <c:numCache>
                <c:formatCode>0.000</c:formatCode>
                <c:ptCount val="22"/>
                <c:pt idx="0">
                  <c:v>0</c:v>
                </c:pt>
                <c:pt idx="1">
                  <c:v>2.7642086330935247</c:v>
                </c:pt>
                <c:pt idx="2">
                  <c:v>4.8077738515901052</c:v>
                </c:pt>
                <c:pt idx="3">
                  <c:v>6.1411458333333311</c:v>
                </c:pt>
                <c:pt idx="4">
                  <c:v>6.7740614334470983</c:v>
                </c:pt>
                <c:pt idx="5">
                  <c:v>6.7156040268456367</c:v>
                </c:pt>
                <c:pt idx="6">
                  <c:v>5.9742574257425716</c:v>
                </c:pt>
                <c:pt idx="7">
                  <c:v>4.5579545454545425</c:v>
                </c:pt>
                <c:pt idx="8">
                  <c:v>2.474121405750795</c:v>
                </c:pt>
                <c:pt idx="9">
                  <c:v>-0.27028301886792755</c:v>
                </c:pt>
                <c:pt idx="10">
                  <c:v>-3.668730650154802</c:v>
                </c:pt>
                <c:pt idx="11">
                  <c:v>-7.7150914634146357</c:v>
                </c:pt>
                <c:pt idx="12">
                  <c:v>-12.40360360360361</c:v>
                </c:pt>
                <c:pt idx="13">
                  <c:v>-17.72884615384616</c:v>
                </c:pt>
                <c:pt idx="14">
                  <c:v>-23.685714285714294</c:v>
                </c:pt>
                <c:pt idx="15">
                  <c:v>-30.269396551724135</c:v>
                </c:pt>
                <c:pt idx="16">
                  <c:v>-37.475354107648734</c:v>
                </c:pt>
                <c:pt idx="17">
                  <c:v>-45.299301675977652</c:v>
                </c:pt>
                <c:pt idx="18">
                  <c:v>-53.737190082644638</c:v>
                </c:pt>
                <c:pt idx="19">
                  <c:v>-62.785190217391303</c:v>
                </c:pt>
                <c:pt idx="20">
                  <c:v>-72.439678284182321</c:v>
                </c:pt>
                <c:pt idx="21">
                  <c:v>-82.697222222222251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Kollektorvergleich!$E$44</c:f>
              <c:strCache>
                <c:ptCount val="1"/>
                <c:pt idx="0">
                  <c:v>Aqua Plasma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Kollektorvergleich!$C$45:$C$66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Kollektorvergleich!$E$45:$E$66</c:f>
              <c:numCache>
                <c:formatCode>0.000</c:formatCode>
                <c:ptCount val="22"/>
                <c:pt idx="0">
                  <c:v>0</c:v>
                </c:pt>
                <c:pt idx="1">
                  <c:v>2.4147482014388491</c:v>
                </c:pt>
                <c:pt idx="2">
                  <c:v>4.62791519434629</c:v>
                </c:pt>
                <c:pt idx="3">
                  <c:v>6.6421875000000004</c:v>
                </c:pt>
                <c:pt idx="4">
                  <c:v>8.4600682593856664</c:v>
                </c:pt>
                <c:pt idx="5">
                  <c:v>10.083892617449665</c:v>
                </c:pt>
                <c:pt idx="6">
                  <c:v>11.515841584158416</c:v>
                </c:pt>
                <c:pt idx="7">
                  <c:v>12.757954545454545</c:v>
                </c:pt>
                <c:pt idx="8">
                  <c:v>13.812140575079873</c:v>
                </c:pt>
                <c:pt idx="9">
                  <c:v>14.680188679245282</c:v>
                </c:pt>
                <c:pt idx="10">
                  <c:v>15.363777089783284</c:v>
                </c:pt>
                <c:pt idx="11">
                  <c:v>15.864481707317074</c:v>
                </c:pt>
                <c:pt idx="12">
                  <c:v>16.183783783783785</c:v>
                </c:pt>
                <c:pt idx="13">
                  <c:v>16.323076923076925</c:v>
                </c:pt>
                <c:pt idx="14">
                  <c:v>16.283673469387757</c:v>
                </c:pt>
                <c:pt idx="15">
                  <c:v>16.066810344827591</c:v>
                </c:pt>
                <c:pt idx="16">
                  <c:v>15.673654390934846</c:v>
                </c:pt>
                <c:pt idx="17">
                  <c:v>15.105307262569836</c:v>
                </c:pt>
                <c:pt idx="18">
                  <c:v>14.362809917355374</c:v>
                </c:pt>
                <c:pt idx="19">
                  <c:v>13.447146739130433</c:v>
                </c:pt>
                <c:pt idx="20">
                  <c:v>12.359249329758716</c:v>
                </c:pt>
                <c:pt idx="21">
                  <c:v>11.100000000000003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Kollektorvergleich!$F$44</c:f>
              <c:strCache>
                <c:ptCount val="1"/>
                <c:pt idx="0">
                  <c:v>XL 19/49 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Kollektorvergleich!$C$45:$C$66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Kollektorvergleich!$F$45:$F$66</c:f>
              <c:numCache>
                <c:formatCode>0.000</c:formatCode>
                <c:ptCount val="22"/>
                <c:pt idx="0">
                  <c:v>0</c:v>
                </c:pt>
                <c:pt idx="1">
                  <c:v>2.4210431654676259</c:v>
                </c:pt>
                <c:pt idx="2">
                  <c:v>4.6455830388692574</c:v>
                </c:pt>
                <c:pt idx="3">
                  <c:v>6.6760416666666655</c:v>
                </c:pt>
                <c:pt idx="4">
                  <c:v>8.5146757679180887</c:v>
                </c:pt>
                <c:pt idx="5">
                  <c:v>10.163590604026847</c:v>
                </c:pt>
                <c:pt idx="6">
                  <c:v>11.624752475247524</c:v>
                </c:pt>
                <c:pt idx="7">
                  <c:v>12.9</c:v>
                </c:pt>
                <c:pt idx="8">
                  <c:v>13.991054313099042</c:v>
                </c:pt>
                <c:pt idx="9">
                  <c:v>14.899528301886791</c:v>
                </c:pt>
                <c:pt idx="10">
                  <c:v>15.626934984520121</c:v>
                </c:pt>
                <c:pt idx="11">
                  <c:v>16.174695121951217</c:v>
                </c:pt>
                <c:pt idx="12">
                  <c:v>16.544144144144145</c:v>
                </c:pt>
                <c:pt idx="13">
                  <c:v>16.736538461538462</c:v>
                </c:pt>
                <c:pt idx="14">
                  <c:v>16.753061224489795</c:v>
                </c:pt>
                <c:pt idx="15">
                  <c:v>16.594827586206897</c:v>
                </c:pt>
                <c:pt idx="16">
                  <c:v>16.262889518413594</c:v>
                </c:pt>
                <c:pt idx="17">
                  <c:v>15.758240223463686</c:v>
                </c:pt>
                <c:pt idx="18">
                  <c:v>15.081818181818182</c:v>
                </c:pt>
                <c:pt idx="19">
                  <c:v>14.234510869565216</c:v>
                </c:pt>
                <c:pt idx="20">
                  <c:v>13.2171581769437</c:v>
                </c:pt>
                <c:pt idx="21">
                  <c:v>12.030555555555553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Kollektorvergleich!$G$44</c:f>
              <c:strCache>
                <c:ptCount val="1"/>
                <c:pt idx="0">
                  <c:v>FK D1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Kollektorvergleich!$C$45:$C$66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Kollektorvergleich!$G$45:$G$66</c:f>
              <c:numCache>
                <c:formatCode>0.000</c:formatCode>
                <c:ptCount val="22"/>
                <c:pt idx="0">
                  <c:v>0</c:v>
                </c:pt>
                <c:pt idx="1">
                  <c:v>2.4960881294964028</c:v>
                </c:pt>
                <c:pt idx="2">
                  <c:v>4.2342756183745598</c:v>
                </c:pt>
                <c:pt idx="3">
                  <c:v>5.2261718750000012</c:v>
                </c:pt>
                <c:pt idx="4">
                  <c:v>5.4825938566552921</c:v>
                </c:pt>
                <c:pt idx="5">
                  <c:v>5.0136325503355721</c:v>
                </c:pt>
                <c:pt idx="6">
                  <c:v>3.8287128712871321</c:v>
                </c:pt>
                <c:pt idx="7">
                  <c:v>1.9366477272727292</c:v>
                </c:pt>
                <c:pt idx="8">
                  <c:v>-0.65431309904152957</c:v>
                </c:pt>
                <c:pt idx="9">
                  <c:v>-3.9364386792452799</c:v>
                </c:pt>
                <c:pt idx="10">
                  <c:v>-7.9024767801857561</c:v>
                </c:pt>
                <c:pt idx="11">
                  <c:v>-12.545617378048778</c:v>
                </c:pt>
                <c:pt idx="12">
                  <c:v>-17.859459459459451</c:v>
                </c:pt>
                <c:pt idx="13">
                  <c:v>-23.837980769230764</c:v>
                </c:pt>
                <c:pt idx="14">
                  <c:v>-30.47551020408163</c:v>
                </c:pt>
                <c:pt idx="15">
                  <c:v>-37.76670258620689</c:v>
                </c:pt>
                <c:pt idx="16">
                  <c:v>-45.706515580736536</c:v>
                </c:pt>
                <c:pt idx="17">
                  <c:v>-54.290188547486018</c:v>
                </c:pt>
                <c:pt idx="18">
                  <c:v>-63.513223140495853</c:v>
                </c:pt>
                <c:pt idx="19">
                  <c:v>-73.371365489130426</c:v>
                </c:pt>
                <c:pt idx="20">
                  <c:v>-83.860589812332435</c:v>
                </c:pt>
                <c:pt idx="21">
                  <c:v>-94.977083333333326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Kollektorvergleich!$H$44</c:f>
              <c:strCache>
                <c:ptCount val="1"/>
                <c:pt idx="0">
                  <c:v>MT-Power v3.11</c:v>
                </c:pt>
              </c:strCache>
            </c:strRef>
          </c:tx>
          <c:spPr>
            <a:ln>
              <a:solidFill>
                <a:srgbClr val="33CC33"/>
              </a:solidFill>
            </a:ln>
          </c:spPr>
          <c:marker>
            <c:symbol val="none"/>
          </c:marker>
          <c:xVal>
            <c:numRef>
              <c:f>Kollektorvergleich!$C$45:$C$66</c:f>
              <c:numCache>
                <c:formatCode>General</c:formatCode>
                <c:ptCount val="2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</c:numCache>
            </c:numRef>
          </c:xVal>
          <c:yVal>
            <c:numRef>
              <c:f>Kollektorvergleich!$H$45:$H$66</c:f>
              <c:numCache>
                <c:formatCode>0.000</c:formatCode>
                <c:ptCount val="22"/>
                <c:pt idx="0">
                  <c:v>0</c:v>
                </c:pt>
                <c:pt idx="1">
                  <c:v>2.6813848920863306</c:v>
                </c:pt>
                <c:pt idx="2">
                  <c:v>5.1597173144876329</c:v>
                </c:pt>
                <c:pt idx="3">
                  <c:v>7.4273437500000012</c:v>
                </c:pt>
                <c:pt idx="4">
                  <c:v>9.47713310580205</c:v>
                </c:pt>
                <c:pt idx="5">
                  <c:v>11.302432885906043</c:v>
                </c:pt>
                <c:pt idx="6">
                  <c:v>12.897029702970297</c:v>
                </c:pt>
                <c:pt idx="7">
                  <c:v>14.255113636363637</c:v>
                </c:pt>
                <c:pt idx="8">
                  <c:v>15.371246006389777</c:v>
                </c:pt>
                <c:pt idx="9">
                  <c:v>16.240330188679245</c:v>
                </c:pt>
                <c:pt idx="10">
                  <c:v>16.857585139318886</c:v>
                </c:pt>
                <c:pt idx="11">
                  <c:v>17.218521341463418</c:v>
                </c:pt>
                <c:pt idx="12">
                  <c:v>17.318918918918918</c:v>
                </c:pt>
                <c:pt idx="13">
                  <c:v>17.154807692307696</c:v>
                </c:pt>
                <c:pt idx="14">
                  <c:v>16.722448979591835</c:v>
                </c:pt>
                <c:pt idx="15">
                  <c:v>16.018318965517246</c:v>
                </c:pt>
                <c:pt idx="16">
                  <c:v>15.039093484419269</c:v>
                </c:pt>
                <c:pt idx="17">
                  <c:v>13.78163407821229</c:v>
                </c:pt>
                <c:pt idx="18">
                  <c:v>12.242975206611572</c:v>
                </c:pt>
                <c:pt idx="19">
                  <c:v>10.420312500000003</c:v>
                </c:pt>
                <c:pt idx="20">
                  <c:v>8.3109919571045623</c:v>
                </c:pt>
                <c:pt idx="21">
                  <c:v>5.9125000000000032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987328"/>
        <c:axId val="320988896"/>
      </c:scatterChart>
      <c:valAx>
        <c:axId val="3209873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Delta</a:t>
                </a:r>
                <a:r>
                  <a:rPr lang="de-DE" baseline="0"/>
                  <a:t> T = TM-TA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42499030043152686"/>
              <c:y val="0.83928416666666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20988896"/>
        <c:crosses val="autoZero"/>
        <c:crossBetween val="midCat"/>
        <c:majorUnit val="10"/>
      </c:valAx>
      <c:valAx>
        <c:axId val="3209888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aseline="0"/>
                </a:pPr>
                <a:r>
                  <a:rPr lang="de-DE" sz="1100" baseline="0"/>
                  <a:t>Kollektor in W/m²  x Carnot-</a:t>
                </a:r>
              </a:p>
              <a:p>
                <a:pPr>
                  <a:defRPr sz="1100" baseline="0"/>
                </a:pPr>
                <a:r>
                  <a:rPr lang="de-DE" sz="1100" baseline="0"/>
                  <a:t>Wirkungsgradfaktor eta_c</a:t>
                </a:r>
              </a:p>
            </c:rich>
          </c:tx>
          <c:layout>
            <c:manualLayout>
              <c:xMode val="edge"/>
              <c:yMode val="edge"/>
              <c:x val="3.3956498473578615E-2"/>
              <c:y val="0.1798658333333333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20987328"/>
        <c:crosses val="autoZero"/>
        <c:crossBetween val="midCat"/>
      </c:valAx>
      <c:spPr>
        <a:ln w="9525"/>
      </c:spPr>
    </c:plotArea>
    <c:legend>
      <c:legendPos val="b"/>
      <c:layout>
        <c:manualLayout>
          <c:xMode val="edge"/>
          <c:yMode val="edge"/>
          <c:x val="8.6490804150242559E-2"/>
          <c:y val="0.9180780092592592"/>
          <c:w val="0.88399830764718879"/>
          <c:h val="6.2205555555555542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b="1" i="0" baseline="0"/>
          </a:pPr>
          <a:endParaRPr lang="de-DE"/>
        </a:p>
      </c:tx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99258440959594"/>
          <c:y val="0.10588124009251319"/>
          <c:w val="0.81180669882270318"/>
          <c:h val="0.771074970475870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Kollektorvergleich!$D$126</c:f>
              <c:strCache>
                <c:ptCount val="1"/>
                <c:pt idx="0">
                  <c:v>C20 AR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Kollektorvergleich!$C$127:$C$148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Kollektorvergleich!$D$127:$D$148</c:f>
              <c:numCache>
                <c:formatCode>0.00%</c:formatCode>
                <c:ptCount val="22"/>
                <c:pt idx="0">
                  <c:v>-9.7936399999999999</c:v>
                </c:pt>
                <c:pt idx="1">
                  <c:v>-1.2755280000000002</c:v>
                </c:pt>
                <c:pt idx="2">
                  <c:v>-0.21076400000000015</c:v>
                </c:pt>
                <c:pt idx="3">
                  <c:v>0.14415733333333325</c:v>
                </c:pt>
                <c:pt idx="4">
                  <c:v>0.3216179999999999</c:v>
                </c:pt>
                <c:pt idx="5">
                  <c:v>0.42809439999999999</c:v>
                </c:pt>
                <c:pt idx="6">
                  <c:v>0.49907866666666661</c:v>
                </c:pt>
                <c:pt idx="7">
                  <c:v>0.54978171428571421</c:v>
                </c:pt>
                <c:pt idx="8">
                  <c:v>0.58780899999999991</c:v>
                </c:pt>
                <c:pt idx="9">
                  <c:v>0.61738577777777781</c:v>
                </c:pt>
                <c:pt idx="10">
                  <c:v>0.64104719999999993</c:v>
                </c:pt>
                <c:pt idx="11">
                  <c:v>0.66040654545454536</c:v>
                </c:pt>
                <c:pt idx="12">
                  <c:v>0.67653933333333327</c:v>
                </c:pt>
                <c:pt idx="13">
                  <c:v>0.6901901538461539</c:v>
                </c:pt>
                <c:pt idx="14">
                  <c:v>0.70189085714285704</c:v>
                </c:pt>
                <c:pt idx="15">
                  <c:v>0.71203146666666661</c:v>
                </c:pt>
                <c:pt idx="16">
                  <c:v>0.72090449999999995</c:v>
                </c:pt>
                <c:pt idx="17">
                  <c:v>0.72873364705882349</c:v>
                </c:pt>
                <c:pt idx="18">
                  <c:v>0.73569288888888895</c:v>
                </c:pt>
                <c:pt idx="19">
                  <c:v>0.74191957894736837</c:v>
                </c:pt>
                <c:pt idx="20">
                  <c:v>0.74752359999999995</c:v>
                </c:pt>
                <c:pt idx="21">
                  <c:v>0.75259390476190469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Kollektorvergleich!$E$126</c:f>
              <c:strCache>
                <c:ptCount val="1"/>
                <c:pt idx="0">
                  <c:v>Aqua Plasma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Kollektorvergleich!$C$127:$C$148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Kollektorvergleich!$E$127:$E$148</c:f>
              <c:numCache>
                <c:formatCode>0.00%</c:formatCode>
                <c:ptCount val="22"/>
                <c:pt idx="0">
                  <c:v>-1.343</c:v>
                </c:pt>
                <c:pt idx="1">
                  <c:v>0.28100000000000003</c:v>
                </c:pt>
                <c:pt idx="2">
                  <c:v>0.48399999999999999</c:v>
                </c:pt>
                <c:pt idx="3">
                  <c:v>0.55166666666666675</c:v>
                </c:pt>
                <c:pt idx="4">
                  <c:v>0.58550000000000002</c:v>
                </c:pt>
                <c:pt idx="5">
                  <c:v>0.60580000000000012</c:v>
                </c:pt>
                <c:pt idx="6">
                  <c:v>0.61933333333333351</c:v>
                </c:pt>
                <c:pt idx="7">
                  <c:v>0.629</c:v>
                </c:pt>
                <c:pt idx="8">
                  <c:v>0.63625000000000009</c:v>
                </c:pt>
                <c:pt idx="9">
                  <c:v>0.64188888888888895</c:v>
                </c:pt>
                <c:pt idx="10">
                  <c:v>0.64639999999999997</c:v>
                </c:pt>
                <c:pt idx="11">
                  <c:v>0.65009090909090916</c:v>
                </c:pt>
                <c:pt idx="12">
                  <c:v>0.65316666666666667</c:v>
                </c:pt>
                <c:pt idx="13">
                  <c:v>0.65576923076923077</c:v>
                </c:pt>
                <c:pt idx="14">
                  <c:v>0.65800000000000003</c:v>
                </c:pt>
                <c:pt idx="15">
                  <c:v>0.65993333333333337</c:v>
                </c:pt>
                <c:pt idx="16">
                  <c:v>0.66162499999999991</c:v>
                </c:pt>
                <c:pt idx="17">
                  <c:v>0.66311764705882348</c:v>
                </c:pt>
                <c:pt idx="18">
                  <c:v>0.66444444444444439</c:v>
                </c:pt>
                <c:pt idx="19">
                  <c:v>0.66563157894736846</c:v>
                </c:pt>
                <c:pt idx="20">
                  <c:v>0.66669999999999996</c:v>
                </c:pt>
                <c:pt idx="21">
                  <c:v>0.66766666666666663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Kollektorvergleich!$F$126</c:f>
              <c:strCache>
                <c:ptCount val="1"/>
                <c:pt idx="0">
                  <c:v>XL 19/49 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Kollektorvergleich!$C$127:$C$148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Kollektorvergleich!$F$127:$F$148</c:f>
              <c:numCache>
                <c:formatCode>0.00%</c:formatCode>
                <c:ptCount val="22"/>
                <c:pt idx="0">
                  <c:v>-1.2550000000000001</c:v>
                </c:pt>
                <c:pt idx="1">
                  <c:v>0.2994</c:v>
                </c:pt>
                <c:pt idx="2">
                  <c:v>0.49369999999999997</c:v>
                </c:pt>
                <c:pt idx="3">
                  <c:v>0.55846666666666667</c:v>
                </c:pt>
                <c:pt idx="4">
                  <c:v>0.59084999999999999</c:v>
                </c:pt>
                <c:pt idx="5">
                  <c:v>0.61027999999999993</c:v>
                </c:pt>
                <c:pt idx="6">
                  <c:v>0.62323333333333319</c:v>
                </c:pt>
                <c:pt idx="7">
                  <c:v>0.63248571428571421</c:v>
                </c:pt>
                <c:pt idx="8">
                  <c:v>0.63942500000000002</c:v>
                </c:pt>
                <c:pt idx="9">
                  <c:v>0.64482222222222219</c:v>
                </c:pt>
                <c:pt idx="10">
                  <c:v>0.64913999999999994</c:v>
                </c:pt>
                <c:pt idx="11">
                  <c:v>0.65267272727272718</c:v>
                </c:pt>
                <c:pt idx="12">
                  <c:v>0.65561666666666663</c:v>
                </c:pt>
                <c:pt idx="13">
                  <c:v>0.65810769230769228</c:v>
                </c:pt>
                <c:pt idx="14">
                  <c:v>0.66024285714285713</c:v>
                </c:pt>
                <c:pt idx="15">
                  <c:v>0.66209333333333331</c:v>
                </c:pt>
                <c:pt idx="16">
                  <c:v>0.66371249999999993</c:v>
                </c:pt>
                <c:pt idx="17">
                  <c:v>0.66514117647058812</c:v>
                </c:pt>
                <c:pt idx="18">
                  <c:v>0.66641111111111095</c:v>
                </c:pt>
                <c:pt idx="19">
                  <c:v>0.66754736842105244</c:v>
                </c:pt>
                <c:pt idx="20">
                  <c:v>0.66856999999999989</c:v>
                </c:pt>
                <c:pt idx="21">
                  <c:v>0.66949523809523803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Kollektorvergleich!$G$126</c:f>
              <c:strCache>
                <c:ptCount val="1"/>
                <c:pt idx="0">
                  <c:v>FK D1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Kollektorvergleich!$C$127:$C$148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Kollektorvergleich!$G$127:$G$148</c:f>
              <c:numCache>
                <c:formatCode>0.00%</c:formatCode>
                <c:ptCount val="22"/>
                <c:pt idx="0">
                  <c:v>-10.64087</c:v>
                </c:pt>
                <c:pt idx="1">
                  <c:v>-1.499374</c:v>
                </c:pt>
                <c:pt idx="2">
                  <c:v>-0.35668699999999987</c:v>
                </c:pt>
                <c:pt idx="3">
                  <c:v>2.4208666666666736E-2</c:v>
                </c:pt>
                <c:pt idx="4">
                  <c:v>0.21465650000000011</c:v>
                </c:pt>
                <c:pt idx="5">
                  <c:v>0.32892520000000003</c:v>
                </c:pt>
                <c:pt idx="6">
                  <c:v>0.40510433333333346</c:v>
                </c:pt>
                <c:pt idx="7">
                  <c:v>0.45951800000000015</c:v>
                </c:pt>
                <c:pt idx="8">
                  <c:v>0.50032825000000014</c:v>
                </c:pt>
                <c:pt idx="9">
                  <c:v>0.53206955555555557</c:v>
                </c:pt>
                <c:pt idx="10">
                  <c:v>0.55746260000000003</c:v>
                </c:pt>
                <c:pt idx="11">
                  <c:v>0.5782387272727274</c:v>
                </c:pt>
                <c:pt idx="12">
                  <c:v>0.59555216666666677</c:v>
                </c:pt>
                <c:pt idx="13">
                  <c:v>0.61020200000000013</c:v>
                </c:pt>
                <c:pt idx="14">
                  <c:v>0.62275900000000006</c:v>
                </c:pt>
                <c:pt idx="15">
                  <c:v>0.6336417333333334</c:v>
                </c:pt>
                <c:pt idx="16">
                  <c:v>0.64316412500000009</c:v>
                </c:pt>
                <c:pt idx="17">
                  <c:v>0.65156623529411772</c:v>
                </c:pt>
                <c:pt idx="18">
                  <c:v>0.65903477777777775</c:v>
                </c:pt>
                <c:pt idx="19">
                  <c:v>0.66571715789473696</c:v>
                </c:pt>
                <c:pt idx="20">
                  <c:v>0.67173130000000003</c:v>
                </c:pt>
                <c:pt idx="21">
                  <c:v>0.67717266666666676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Kollektorvergleich!$H$126</c:f>
              <c:strCache>
                <c:ptCount val="1"/>
                <c:pt idx="0">
                  <c:v>MT-Power v3.11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Kollektorvergleich!$C$127:$C$148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Kollektorvergleich!$H$127:$H$148</c:f>
              <c:numCache>
                <c:formatCode>0.00%</c:formatCode>
                <c:ptCount val="22"/>
                <c:pt idx="0">
                  <c:v>-1.3028999999999999</c:v>
                </c:pt>
                <c:pt idx="1">
                  <c:v>0.34662000000000004</c:v>
                </c:pt>
                <c:pt idx="2">
                  <c:v>0.55281000000000002</c:v>
                </c:pt>
                <c:pt idx="3">
                  <c:v>0.62153999999999998</c:v>
                </c:pt>
                <c:pt idx="4">
                  <c:v>0.65590500000000007</c:v>
                </c:pt>
                <c:pt idx="5">
                  <c:v>0.67652400000000001</c:v>
                </c:pt>
                <c:pt idx="6">
                  <c:v>0.69026999999999994</c:v>
                </c:pt>
                <c:pt idx="7">
                  <c:v>0.70008857142857139</c:v>
                </c:pt>
                <c:pt idx="8">
                  <c:v>0.70745250000000015</c:v>
                </c:pt>
                <c:pt idx="9">
                  <c:v>0.71317999999999993</c:v>
                </c:pt>
                <c:pt idx="10">
                  <c:v>0.71776200000000001</c:v>
                </c:pt>
                <c:pt idx="11">
                  <c:v>0.72151090909090898</c:v>
                </c:pt>
                <c:pt idx="12">
                  <c:v>0.72463500000000003</c:v>
                </c:pt>
                <c:pt idx="13">
                  <c:v>0.72727846153846165</c:v>
                </c:pt>
                <c:pt idx="14">
                  <c:v>0.72954428571428565</c:v>
                </c:pt>
                <c:pt idx="15">
                  <c:v>0.73150800000000016</c:v>
                </c:pt>
                <c:pt idx="16">
                  <c:v>0.73322625000000019</c:v>
                </c:pt>
                <c:pt idx="17">
                  <c:v>0.7347423529411764</c:v>
                </c:pt>
                <c:pt idx="18">
                  <c:v>0.73609000000000002</c:v>
                </c:pt>
                <c:pt idx="19">
                  <c:v>0.73729578947368424</c:v>
                </c:pt>
                <c:pt idx="20">
                  <c:v>0.73838100000000007</c:v>
                </c:pt>
                <c:pt idx="21">
                  <c:v>0.73936285714285732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986936"/>
        <c:axId val="320990856"/>
      </c:scatterChart>
      <c:valAx>
        <c:axId val="320986936"/>
        <c:scaling>
          <c:orientation val="minMax"/>
          <c:max val="11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Einstrahlung</a:t>
                </a:r>
              </a:p>
            </c:rich>
          </c:tx>
          <c:overlay val="0"/>
        </c:title>
        <c:numFmt formatCode="0\ \W\/\m\²" sourceLinked="0"/>
        <c:majorTickMark val="cross"/>
        <c:minorTickMark val="out"/>
        <c:tickLblPos val="nextTo"/>
        <c:spPr>
          <a:ln w="19050"/>
        </c:spPr>
        <c:crossAx val="320990856"/>
        <c:crosses val="autoZero"/>
        <c:crossBetween val="midCat"/>
        <c:majorUnit val="200"/>
        <c:minorUnit val="50"/>
      </c:valAx>
      <c:valAx>
        <c:axId val="320990856"/>
        <c:scaling>
          <c:orientation val="minMax"/>
          <c:max val="1"/>
          <c:min val="-0.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Wirkungsgrad</a:t>
                </a:r>
                <a:r>
                  <a:rPr lang="de-DE" baseline="0"/>
                  <a:t> bei oben angegebenen TA und TM-TA</a:t>
                </a:r>
                <a:endParaRPr lang="de-DE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20986936"/>
        <c:crosses val="autoZero"/>
        <c:crossBetween val="midCat"/>
        <c:majorUnit val="0.1"/>
        <c:minorUnit val="5.0000000000000024E-2"/>
      </c:valAx>
    </c:plotArea>
    <c:legend>
      <c:legendPos val="b"/>
      <c:overlay val="0"/>
      <c:spPr>
        <a:solidFill>
          <a:schemeClr val="bg1"/>
        </a:solidFill>
        <a:ln w="12700" cmpd="sng">
          <a:solidFill>
            <a:schemeClr val="tx1"/>
          </a:solidFill>
          <a:prstDash val="solid"/>
        </a:ln>
      </c:sp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40280089912393"/>
          <c:y val="0.10588124009251319"/>
          <c:w val="0.80739648233317574"/>
          <c:h val="0.764118450006901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Kollektorvergleich!$D$151</c:f>
              <c:strCache>
                <c:ptCount val="1"/>
                <c:pt idx="0">
                  <c:v>C20 AR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Kollektorvergleich!$C$152:$C$173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Kollektorvergleich!$D$152:$D$173</c:f>
              <c:numCache>
                <c:formatCode>General</c:formatCode>
                <c:ptCount val="22"/>
                <c:pt idx="0">
                  <c:v>-97.936399999999992</c:v>
                </c:pt>
                <c:pt idx="1">
                  <c:v>-63.77640000000001</c:v>
                </c:pt>
                <c:pt idx="2">
                  <c:v>-21.076400000000014</c:v>
                </c:pt>
                <c:pt idx="3">
                  <c:v>21.623599999999989</c:v>
                </c:pt>
                <c:pt idx="4">
                  <c:v>64.323599999999985</c:v>
                </c:pt>
                <c:pt idx="5">
                  <c:v>107.0236</c:v>
                </c:pt>
                <c:pt idx="6">
                  <c:v>149.72359999999998</c:v>
                </c:pt>
                <c:pt idx="7">
                  <c:v>192.42359999999996</c:v>
                </c:pt>
                <c:pt idx="8">
                  <c:v>235.12359999999995</c:v>
                </c:pt>
                <c:pt idx="9">
                  <c:v>277.8236</c:v>
                </c:pt>
                <c:pt idx="10">
                  <c:v>320.52359999999999</c:v>
                </c:pt>
                <c:pt idx="11">
                  <c:v>363.22359999999992</c:v>
                </c:pt>
                <c:pt idx="12">
                  <c:v>405.92359999999996</c:v>
                </c:pt>
                <c:pt idx="13">
                  <c:v>448.62360000000001</c:v>
                </c:pt>
                <c:pt idx="14">
                  <c:v>491.32359999999994</c:v>
                </c:pt>
                <c:pt idx="15">
                  <c:v>534.02359999999999</c:v>
                </c:pt>
                <c:pt idx="16">
                  <c:v>576.72359999999992</c:v>
                </c:pt>
                <c:pt idx="17">
                  <c:v>619.42359999999996</c:v>
                </c:pt>
                <c:pt idx="18">
                  <c:v>662.12360000000001</c:v>
                </c:pt>
                <c:pt idx="19">
                  <c:v>704.82359999999994</c:v>
                </c:pt>
                <c:pt idx="20">
                  <c:v>747.52359999999999</c:v>
                </c:pt>
                <c:pt idx="21">
                  <c:v>790.22359999999992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Kollektorvergleich!$E$151</c:f>
              <c:strCache>
                <c:ptCount val="1"/>
                <c:pt idx="0">
                  <c:v>Aqua Plasma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Kollektorvergleich!$C$152:$C$173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Kollektorvergleich!$E$152:$E$173</c:f>
              <c:numCache>
                <c:formatCode>General</c:formatCode>
                <c:ptCount val="22"/>
                <c:pt idx="0">
                  <c:v>-13.43</c:v>
                </c:pt>
                <c:pt idx="1">
                  <c:v>14.05</c:v>
                </c:pt>
                <c:pt idx="2">
                  <c:v>48.4</c:v>
                </c:pt>
                <c:pt idx="3">
                  <c:v>82.750000000000014</c:v>
                </c:pt>
                <c:pt idx="4">
                  <c:v>117.10000000000001</c:v>
                </c:pt>
                <c:pt idx="5">
                  <c:v>151.45000000000002</c:v>
                </c:pt>
                <c:pt idx="6">
                  <c:v>185.80000000000007</c:v>
                </c:pt>
                <c:pt idx="7">
                  <c:v>220.15</c:v>
                </c:pt>
                <c:pt idx="8">
                  <c:v>254.50000000000003</c:v>
                </c:pt>
                <c:pt idx="9">
                  <c:v>288.85000000000002</c:v>
                </c:pt>
                <c:pt idx="10">
                  <c:v>323.2</c:v>
                </c:pt>
                <c:pt idx="11">
                  <c:v>357.55000000000007</c:v>
                </c:pt>
                <c:pt idx="12">
                  <c:v>391.9</c:v>
                </c:pt>
                <c:pt idx="13">
                  <c:v>426.25</c:v>
                </c:pt>
                <c:pt idx="14">
                  <c:v>460.6</c:v>
                </c:pt>
                <c:pt idx="15">
                  <c:v>494.95000000000005</c:v>
                </c:pt>
                <c:pt idx="16">
                  <c:v>529.29999999999995</c:v>
                </c:pt>
                <c:pt idx="17">
                  <c:v>563.65</c:v>
                </c:pt>
                <c:pt idx="18">
                  <c:v>598</c:v>
                </c:pt>
                <c:pt idx="19">
                  <c:v>632.35</c:v>
                </c:pt>
                <c:pt idx="20">
                  <c:v>666.69999999999993</c:v>
                </c:pt>
                <c:pt idx="21">
                  <c:v>701.05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Kollektorvergleich!$F$151</c:f>
              <c:strCache>
                <c:ptCount val="1"/>
                <c:pt idx="0">
                  <c:v>XL 19/49 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Kollektorvergleich!$C$152:$C$173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Kollektorvergleich!$F$152:$F$173</c:f>
              <c:numCache>
                <c:formatCode>General</c:formatCode>
                <c:ptCount val="22"/>
                <c:pt idx="0">
                  <c:v>-12.55</c:v>
                </c:pt>
                <c:pt idx="1">
                  <c:v>14.97</c:v>
                </c:pt>
                <c:pt idx="2">
                  <c:v>49.37</c:v>
                </c:pt>
                <c:pt idx="3">
                  <c:v>83.77</c:v>
                </c:pt>
                <c:pt idx="4">
                  <c:v>118.17</c:v>
                </c:pt>
                <c:pt idx="5">
                  <c:v>152.57</c:v>
                </c:pt>
                <c:pt idx="6">
                  <c:v>186.96999999999997</c:v>
                </c:pt>
                <c:pt idx="7">
                  <c:v>221.36999999999998</c:v>
                </c:pt>
                <c:pt idx="8">
                  <c:v>255.77</c:v>
                </c:pt>
                <c:pt idx="9">
                  <c:v>290.16999999999996</c:v>
                </c:pt>
                <c:pt idx="10">
                  <c:v>324.57</c:v>
                </c:pt>
                <c:pt idx="11">
                  <c:v>358.96999999999997</c:v>
                </c:pt>
                <c:pt idx="12">
                  <c:v>393.36999999999995</c:v>
                </c:pt>
                <c:pt idx="13">
                  <c:v>427.77</c:v>
                </c:pt>
                <c:pt idx="14">
                  <c:v>462.17</c:v>
                </c:pt>
                <c:pt idx="15">
                  <c:v>496.57</c:v>
                </c:pt>
                <c:pt idx="16">
                  <c:v>530.96999999999991</c:v>
                </c:pt>
                <c:pt idx="17">
                  <c:v>565.36999999999989</c:v>
                </c:pt>
                <c:pt idx="18">
                  <c:v>599.76999999999987</c:v>
                </c:pt>
                <c:pt idx="19">
                  <c:v>634.16999999999985</c:v>
                </c:pt>
                <c:pt idx="20">
                  <c:v>668.56999999999994</c:v>
                </c:pt>
                <c:pt idx="21">
                  <c:v>702.96999999999991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Kollektorvergleich!$G$151</c:f>
              <c:strCache>
                <c:ptCount val="1"/>
                <c:pt idx="0">
                  <c:v>FK D1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Kollektorvergleich!$C$152:$C$173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Kollektorvergleich!$G$152:$G$173</c:f>
              <c:numCache>
                <c:formatCode>General</c:formatCode>
                <c:ptCount val="22"/>
                <c:pt idx="0">
                  <c:v>-106.4087</c:v>
                </c:pt>
                <c:pt idx="1">
                  <c:v>-74.968699999999998</c:v>
                </c:pt>
                <c:pt idx="2">
                  <c:v>-35.668699999999987</c:v>
                </c:pt>
                <c:pt idx="3">
                  <c:v>3.6313000000000102</c:v>
                </c:pt>
                <c:pt idx="4">
                  <c:v>42.931300000000022</c:v>
                </c:pt>
                <c:pt idx="5">
                  <c:v>82.231300000000005</c:v>
                </c:pt>
                <c:pt idx="6">
                  <c:v>121.53130000000003</c:v>
                </c:pt>
                <c:pt idx="7">
                  <c:v>160.83130000000006</c:v>
                </c:pt>
                <c:pt idx="8">
                  <c:v>200.13130000000007</c:v>
                </c:pt>
                <c:pt idx="9">
                  <c:v>239.43130000000002</c:v>
                </c:pt>
                <c:pt idx="10">
                  <c:v>278.73130000000003</c:v>
                </c:pt>
                <c:pt idx="11">
                  <c:v>318.03130000000004</c:v>
                </c:pt>
                <c:pt idx="12">
                  <c:v>357.33130000000006</c:v>
                </c:pt>
                <c:pt idx="13">
                  <c:v>396.63130000000007</c:v>
                </c:pt>
                <c:pt idx="14">
                  <c:v>435.93130000000002</c:v>
                </c:pt>
                <c:pt idx="15">
                  <c:v>475.23130000000003</c:v>
                </c:pt>
                <c:pt idx="16">
                  <c:v>514.5313000000001</c:v>
                </c:pt>
                <c:pt idx="17">
                  <c:v>553.83130000000006</c:v>
                </c:pt>
                <c:pt idx="18">
                  <c:v>593.13130000000001</c:v>
                </c:pt>
                <c:pt idx="19">
                  <c:v>632.43130000000008</c:v>
                </c:pt>
                <c:pt idx="20">
                  <c:v>671.73130000000003</c:v>
                </c:pt>
                <c:pt idx="21">
                  <c:v>711.0313000000001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Kollektorvergleich!$H$151</c:f>
              <c:strCache>
                <c:ptCount val="1"/>
                <c:pt idx="0">
                  <c:v>MT-Power v3.11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Kollektorvergleich!$C$152:$C$173</c:f>
              <c:numCache>
                <c:formatCode>General</c:formatCode>
                <c:ptCount val="22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Kollektorvergleich!$H$152:$H$173</c:f>
              <c:numCache>
                <c:formatCode>General</c:formatCode>
                <c:ptCount val="22"/>
                <c:pt idx="0">
                  <c:v>-13.029</c:v>
                </c:pt>
                <c:pt idx="1">
                  <c:v>17.331000000000003</c:v>
                </c:pt>
                <c:pt idx="2">
                  <c:v>55.281000000000006</c:v>
                </c:pt>
                <c:pt idx="3">
                  <c:v>93.230999999999995</c:v>
                </c:pt>
                <c:pt idx="4">
                  <c:v>131.18100000000001</c:v>
                </c:pt>
                <c:pt idx="5">
                  <c:v>169.131</c:v>
                </c:pt>
                <c:pt idx="6">
                  <c:v>207.08099999999999</c:v>
                </c:pt>
                <c:pt idx="7">
                  <c:v>245.03099999999998</c:v>
                </c:pt>
                <c:pt idx="8">
                  <c:v>282.98100000000005</c:v>
                </c:pt>
                <c:pt idx="9">
                  <c:v>320.93099999999998</c:v>
                </c:pt>
                <c:pt idx="10">
                  <c:v>358.88100000000003</c:v>
                </c:pt>
                <c:pt idx="11">
                  <c:v>396.83099999999996</c:v>
                </c:pt>
                <c:pt idx="12">
                  <c:v>434.78100000000001</c:v>
                </c:pt>
                <c:pt idx="13">
                  <c:v>472.73100000000005</c:v>
                </c:pt>
                <c:pt idx="14">
                  <c:v>510.68099999999993</c:v>
                </c:pt>
                <c:pt idx="15">
                  <c:v>548.63100000000009</c:v>
                </c:pt>
                <c:pt idx="16">
                  <c:v>586.58100000000013</c:v>
                </c:pt>
                <c:pt idx="17">
                  <c:v>624.53099999999995</c:v>
                </c:pt>
                <c:pt idx="18">
                  <c:v>662.48099999999999</c:v>
                </c:pt>
                <c:pt idx="19">
                  <c:v>700.43100000000004</c:v>
                </c:pt>
                <c:pt idx="20">
                  <c:v>738.38100000000009</c:v>
                </c:pt>
                <c:pt idx="21">
                  <c:v>776.33100000000013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988112"/>
        <c:axId val="320985368"/>
      </c:scatterChart>
      <c:valAx>
        <c:axId val="320988112"/>
        <c:scaling>
          <c:orientation val="minMax"/>
          <c:max val="11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Einstrahlung</a:t>
                </a:r>
              </a:p>
            </c:rich>
          </c:tx>
          <c:overlay val="0"/>
        </c:title>
        <c:numFmt formatCode="0\ \W\/\m\²" sourceLinked="0"/>
        <c:majorTickMark val="cross"/>
        <c:minorTickMark val="out"/>
        <c:tickLblPos val="nextTo"/>
        <c:spPr>
          <a:ln w="19050"/>
        </c:spPr>
        <c:crossAx val="320985368"/>
        <c:crosses val="autoZero"/>
        <c:crossBetween val="midCat"/>
        <c:majorUnit val="200"/>
        <c:minorUnit val="50"/>
      </c:valAx>
      <c:valAx>
        <c:axId val="320985368"/>
        <c:scaling>
          <c:orientation val="minMax"/>
          <c:max val="900"/>
          <c:min val="-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Ertrag bei oben angegebenem</a:t>
                </a:r>
                <a:r>
                  <a:rPr lang="de-DE" baseline="0"/>
                  <a:t> TA und TM-TA</a:t>
                </a:r>
                <a:endParaRPr lang="de-DE"/>
              </a:p>
            </c:rich>
          </c:tx>
          <c:overlay val="0"/>
        </c:title>
        <c:numFmt formatCode="0\ \W\/\m\²" sourceLinked="0"/>
        <c:majorTickMark val="out"/>
        <c:minorTickMark val="none"/>
        <c:tickLblPos val="nextTo"/>
        <c:crossAx val="320988112"/>
        <c:crosses val="autoZero"/>
        <c:crossBetween val="midCat"/>
        <c:majorUnit val="100"/>
        <c:minorUnit val="50"/>
      </c:valAx>
    </c:plotArea>
    <c:legend>
      <c:legendPos val="b"/>
      <c:overlay val="0"/>
      <c:spPr>
        <a:solidFill>
          <a:schemeClr val="bg1"/>
        </a:solidFill>
        <a:ln w="12700" cmpd="sng">
          <a:solidFill>
            <a:schemeClr val="tx1"/>
          </a:solidFill>
          <a:prstDash val="solid"/>
        </a:ln>
      </c:sp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93344</xdr:colOff>
      <xdr:row>13</xdr:row>
      <xdr:rowOff>24405</xdr:rowOff>
    </xdr:from>
    <xdr:to>
      <xdr:col>8</xdr:col>
      <xdr:colOff>10004</xdr:colOff>
      <xdr:row>67</xdr:row>
      <xdr:rowOff>85725</xdr:rowOff>
    </xdr:to>
    <xdr:grpSp>
      <xdr:nvGrpSpPr>
        <xdr:cNvPr id="4" name="Gruppieren 3"/>
        <xdr:cNvGrpSpPr/>
      </xdr:nvGrpSpPr>
      <xdr:grpSpPr>
        <a:xfrm>
          <a:off x="93344" y="2319930"/>
          <a:ext cx="6574635" cy="8957670"/>
          <a:chOff x="93344" y="2300880"/>
          <a:chExt cx="6707985" cy="9462495"/>
        </a:xfrm>
      </xdr:grpSpPr>
      <xdr:graphicFrame macro="">
        <xdr:nvGraphicFramePr>
          <xdr:cNvPr id="2" name="Diagramm 1"/>
          <xdr:cNvGraphicFramePr>
            <a:graphicFrameLocks/>
          </xdr:cNvGraphicFramePr>
        </xdr:nvGraphicFramePr>
        <xdr:xfrm>
          <a:off x="93344" y="2300880"/>
          <a:ext cx="6707985" cy="4727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Diagramm 2"/>
          <xdr:cNvGraphicFramePr>
            <a:graphicFrameLocks/>
          </xdr:cNvGraphicFramePr>
        </xdr:nvGraphicFramePr>
        <xdr:xfrm>
          <a:off x="93344" y="7035447"/>
          <a:ext cx="6706407" cy="4727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85725</xdr:colOff>
      <xdr:row>123</xdr:row>
      <xdr:rowOff>95249</xdr:rowOff>
    </xdr:from>
    <xdr:to>
      <xdr:col>8</xdr:col>
      <xdr:colOff>14288</xdr:colOff>
      <xdr:row>191</xdr:row>
      <xdr:rowOff>38100</xdr:rowOff>
    </xdr:to>
    <xdr:grpSp>
      <xdr:nvGrpSpPr>
        <xdr:cNvPr id="21" name="Gruppieren 20"/>
        <xdr:cNvGrpSpPr/>
      </xdr:nvGrpSpPr>
      <xdr:grpSpPr>
        <a:xfrm>
          <a:off x="85725" y="21021674"/>
          <a:ext cx="6586538" cy="10953751"/>
          <a:chOff x="209550" y="20907374"/>
          <a:chExt cx="6510338" cy="10572752"/>
        </a:xfrm>
      </xdr:grpSpPr>
      <xdr:graphicFrame macro="">
        <xdr:nvGraphicFramePr>
          <xdr:cNvPr id="9" name="Diagramm 8"/>
          <xdr:cNvGraphicFramePr/>
        </xdr:nvGraphicFramePr>
        <xdr:xfrm>
          <a:off x="209550" y="20907374"/>
          <a:ext cx="6510338" cy="5286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20" name="Diagramm 19"/>
          <xdr:cNvGraphicFramePr>
            <a:graphicFrameLocks/>
          </xdr:cNvGraphicFramePr>
        </xdr:nvGraphicFramePr>
        <xdr:xfrm>
          <a:off x="209550" y="26193750"/>
          <a:ext cx="6510338" cy="5286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1</xdr:col>
      <xdr:colOff>771526</xdr:colOff>
      <xdr:row>124</xdr:row>
      <xdr:rowOff>38100</xdr:rowOff>
    </xdr:from>
    <xdr:to>
      <xdr:col>6</xdr:col>
      <xdr:colOff>579264</xdr:colOff>
      <xdr:row>126</xdr:row>
      <xdr:rowOff>47625</xdr:rowOff>
    </xdr:to>
    <xdr:grpSp>
      <xdr:nvGrpSpPr>
        <xdr:cNvPr id="22" name="Gruppieren 21"/>
        <xdr:cNvGrpSpPr/>
      </xdr:nvGrpSpPr>
      <xdr:grpSpPr>
        <a:xfrm>
          <a:off x="866776" y="21126450"/>
          <a:ext cx="4598813" cy="333375"/>
          <a:chOff x="9115426" y="20269200"/>
          <a:chExt cx="4522613" cy="333375"/>
        </a:xfrm>
      </xdr:grpSpPr>
      <xdr:sp macro="" textlink="">
        <xdr:nvSpPr>
          <xdr:cNvPr id="14" name="Textfeld 13"/>
          <xdr:cNvSpPr txBox="1"/>
        </xdr:nvSpPr>
        <xdr:spPr>
          <a:xfrm>
            <a:off x="9115426" y="20269200"/>
            <a:ext cx="4522613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400" b="1"/>
              <a:t>Wirkungsgrad bei TA =       °C und TM-TA =          K</a:t>
            </a:r>
          </a:p>
          <a:p>
            <a:endParaRPr lang="de-DE" sz="1100"/>
          </a:p>
          <a:p>
            <a:endParaRPr lang="de-DE" sz="1100"/>
          </a:p>
          <a:p>
            <a:endParaRPr lang="de-DE" sz="1100"/>
          </a:p>
          <a:p>
            <a:endParaRPr lang="de-DE" sz="1100"/>
          </a:p>
        </xdr:txBody>
      </xdr:sp>
      <xdr:sp macro="" textlink="$D$100" fLocksText="0">
        <xdr:nvSpPr>
          <xdr:cNvPr id="15" name="Textfeld 14"/>
          <xdr:cNvSpPr txBox="1"/>
        </xdr:nvSpPr>
        <xdr:spPr>
          <a:xfrm>
            <a:off x="10637565" y="20269200"/>
            <a:ext cx="582538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F68B10E2-F3A2-404E-BC87-0EDEFF7C7C52}" type="TxLink">
              <a:rPr lang="de-DE" sz="1400" b="1" i="0" u="none" strike="noStrike">
                <a:solidFill>
                  <a:srgbClr val="000000"/>
                </a:solidFill>
                <a:latin typeface="Arialri"/>
              </a:rPr>
              <a:pPr algn="r"/>
              <a:t>0</a:t>
            </a:fld>
            <a:endParaRPr lang="de-DE" sz="1400" b="1"/>
          </a:p>
        </xdr:txBody>
      </xdr:sp>
      <xdr:sp macro="" textlink="$D$105">
        <xdr:nvSpPr>
          <xdr:cNvPr id="16" name="Textfeld 15"/>
          <xdr:cNvSpPr txBox="1"/>
        </xdr:nvSpPr>
        <xdr:spPr>
          <a:xfrm>
            <a:off x="12085563" y="20269200"/>
            <a:ext cx="677863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608DFD65-F71F-4CEF-92B7-40FA1081DE38}" type="TxLink">
              <a:rPr lang="de-DE" sz="1400" b="1" i="0" u="none" strike="noStrike">
                <a:solidFill>
                  <a:srgbClr val="000000"/>
                </a:solidFill>
                <a:latin typeface="Arialri"/>
              </a:rPr>
              <a:pPr algn="r"/>
              <a:t>29</a:t>
            </a:fld>
            <a:endParaRPr lang="de-DE" sz="1400" b="1"/>
          </a:p>
        </xdr:txBody>
      </xdr:sp>
    </xdr:grpSp>
    <xdr:clientData/>
  </xdr:twoCellAnchor>
  <xdr:twoCellAnchor>
    <xdr:from>
      <xdr:col>1</xdr:col>
      <xdr:colOff>733426</xdr:colOff>
      <xdr:row>156</xdr:row>
      <xdr:rowOff>152400</xdr:rowOff>
    </xdr:from>
    <xdr:to>
      <xdr:col>6</xdr:col>
      <xdr:colOff>541164</xdr:colOff>
      <xdr:row>159</xdr:row>
      <xdr:rowOff>0</xdr:rowOff>
    </xdr:to>
    <xdr:grpSp>
      <xdr:nvGrpSpPr>
        <xdr:cNvPr id="23" name="Gruppieren 22"/>
        <xdr:cNvGrpSpPr/>
      </xdr:nvGrpSpPr>
      <xdr:grpSpPr>
        <a:xfrm>
          <a:off x="828676" y="26422350"/>
          <a:ext cx="4598813" cy="333375"/>
          <a:chOff x="9115426" y="20269200"/>
          <a:chExt cx="4522613" cy="333375"/>
        </a:xfrm>
      </xdr:grpSpPr>
      <xdr:sp macro="" textlink="">
        <xdr:nvSpPr>
          <xdr:cNvPr id="24" name="Textfeld 23"/>
          <xdr:cNvSpPr txBox="1"/>
        </xdr:nvSpPr>
        <xdr:spPr>
          <a:xfrm>
            <a:off x="9115426" y="20269200"/>
            <a:ext cx="4522613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400" b="1"/>
              <a:t>Ertrag /m²        bei TA =       °C und TM-TA =          K</a:t>
            </a:r>
          </a:p>
          <a:p>
            <a:endParaRPr lang="de-DE" sz="1100"/>
          </a:p>
          <a:p>
            <a:endParaRPr lang="de-DE" sz="1100"/>
          </a:p>
          <a:p>
            <a:endParaRPr lang="de-DE" sz="1100"/>
          </a:p>
          <a:p>
            <a:endParaRPr lang="de-DE" sz="1100"/>
          </a:p>
        </xdr:txBody>
      </xdr:sp>
      <xdr:sp macro="" textlink="$D$100" fLocksText="0">
        <xdr:nvSpPr>
          <xdr:cNvPr id="25" name="Textfeld 24"/>
          <xdr:cNvSpPr txBox="1"/>
        </xdr:nvSpPr>
        <xdr:spPr>
          <a:xfrm>
            <a:off x="10637565" y="20269200"/>
            <a:ext cx="582538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F68B10E2-F3A2-404E-BC87-0EDEFF7C7C52}" type="TxLink">
              <a:rPr lang="de-DE" sz="1400" b="1" i="0" u="none" strike="noStrike">
                <a:solidFill>
                  <a:srgbClr val="000000"/>
                </a:solidFill>
                <a:latin typeface="Arialri"/>
              </a:rPr>
              <a:pPr algn="r"/>
              <a:t>0</a:t>
            </a:fld>
            <a:endParaRPr lang="de-DE" sz="1400" b="1"/>
          </a:p>
        </xdr:txBody>
      </xdr:sp>
      <xdr:sp macro="" textlink="$D$105">
        <xdr:nvSpPr>
          <xdr:cNvPr id="26" name="Textfeld 25"/>
          <xdr:cNvSpPr txBox="1"/>
        </xdr:nvSpPr>
        <xdr:spPr>
          <a:xfrm>
            <a:off x="12085563" y="20269200"/>
            <a:ext cx="677863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608DFD65-F71F-4CEF-92B7-40FA1081DE38}" type="TxLink">
              <a:rPr lang="de-DE" sz="1400" b="1" i="0" u="none" strike="noStrike">
                <a:solidFill>
                  <a:srgbClr val="000000"/>
                </a:solidFill>
                <a:latin typeface="Arialri"/>
              </a:rPr>
              <a:pPr algn="r"/>
              <a:t>29</a:t>
            </a:fld>
            <a:endParaRPr lang="de-DE" sz="1400" b="1"/>
          </a:p>
        </xdr:txBody>
      </xdr:sp>
    </xdr:grpSp>
    <xdr:clientData/>
  </xdr:twoCellAnchor>
  <xdr:twoCellAnchor>
    <xdr:from>
      <xdr:col>3</xdr:col>
      <xdr:colOff>666750</xdr:colOff>
      <xdr:row>90</xdr:row>
      <xdr:rowOff>0</xdr:rowOff>
    </xdr:from>
    <xdr:to>
      <xdr:col>13</xdr:col>
      <xdr:colOff>114300</xdr:colOff>
      <xdr:row>102</xdr:row>
      <xdr:rowOff>76200</xdr:rowOff>
    </xdr:to>
    <xdr:cxnSp macro="">
      <xdr:nvCxnSpPr>
        <xdr:cNvPr id="18" name="Gerade Verbindung mit Pfeil 17"/>
        <xdr:cNvCxnSpPr/>
      </xdr:nvCxnSpPr>
      <xdr:spPr>
        <a:xfrm flipH="1">
          <a:off x="2714625" y="15297150"/>
          <a:ext cx="7524750" cy="210502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95250</xdr:colOff>
      <xdr:row>84</xdr:row>
      <xdr:rowOff>0</xdr:rowOff>
    </xdr:from>
    <xdr:to>
      <xdr:col>14</xdr:col>
      <xdr:colOff>419100</xdr:colOff>
      <xdr:row>89</xdr:row>
      <xdr:rowOff>114300</xdr:rowOff>
    </xdr:to>
    <xdr:cxnSp macro="">
      <xdr:nvCxnSpPr>
        <xdr:cNvPr id="27" name="Gerade Verbindung mit Pfeil 26"/>
        <xdr:cNvCxnSpPr/>
      </xdr:nvCxnSpPr>
      <xdr:spPr>
        <a:xfrm flipH="1" flipV="1">
          <a:off x="10906125" y="14201775"/>
          <a:ext cx="323850" cy="952500"/>
        </a:xfrm>
        <a:prstGeom prst="straightConnector1">
          <a:avLst/>
        </a:prstGeom>
        <a:ln w="28575">
          <a:solidFill>
            <a:srgbClr val="FF33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3"/>
  <sheetViews>
    <sheetView tabSelected="1" topLeftCell="A67" zoomScaleNormal="100" workbookViewId="0">
      <selection activeCell="G102" sqref="G102"/>
    </sheetView>
  </sheetViews>
  <sheetFormatPr baseColWidth="10" defaultColWidth="8.85546875" defaultRowHeight="12.75" x14ac:dyDescent="0.2"/>
  <cols>
    <col min="1" max="1" width="1.42578125" customWidth="1"/>
    <col min="2" max="2" width="14.140625" customWidth="1"/>
    <col min="3" max="3" width="16.28515625" customWidth="1"/>
    <col min="4" max="5" width="13.28515625" customWidth="1"/>
    <col min="6" max="6" width="14.85546875" customWidth="1"/>
    <col min="7" max="8" width="13.28515625" customWidth="1"/>
    <col min="9" max="9" width="2.7109375" customWidth="1"/>
    <col min="10" max="10" width="16.42578125" style="49" customWidth="1"/>
    <col min="11" max="11" width="12" style="49" customWidth="1"/>
    <col min="12" max="12" width="11.5703125" style="49" customWidth="1"/>
    <col min="13" max="13" width="10.42578125" style="49" customWidth="1"/>
    <col min="14" max="14" width="10.28515625" style="49" customWidth="1"/>
    <col min="15" max="15" width="12.5703125" style="49" customWidth="1"/>
    <col min="16" max="16" width="10.85546875" style="49" customWidth="1"/>
    <col min="17" max="17" width="12.7109375" style="49" customWidth="1"/>
    <col min="18" max="18" width="11.28515625" style="49" customWidth="1"/>
    <col min="19" max="25" width="8.85546875" style="49"/>
  </cols>
  <sheetData>
    <row r="1" spans="1:45" ht="16.899999999999999" customHeight="1" thickBot="1" x14ac:dyDescent="0.25">
      <c r="A1" s="17"/>
      <c r="B1" s="17"/>
      <c r="C1" s="17"/>
      <c r="D1" s="17"/>
      <c r="E1" s="17"/>
      <c r="F1" s="17"/>
      <c r="G1" s="17"/>
      <c r="H1" s="17"/>
      <c r="I1" s="17"/>
      <c r="K1" s="50" t="s">
        <v>0</v>
      </c>
    </row>
    <row r="2" spans="1:45" ht="24" thickBot="1" x14ac:dyDescent="0.4">
      <c r="A2" s="17"/>
      <c r="B2" s="210"/>
      <c r="C2" s="211"/>
      <c r="D2" s="211"/>
      <c r="E2" s="211"/>
      <c r="F2" s="211"/>
      <c r="G2" s="211"/>
      <c r="H2" s="212"/>
      <c r="I2" s="17"/>
      <c r="P2" s="51"/>
      <c r="Q2" s="125" t="s">
        <v>3</v>
      </c>
      <c r="R2" s="125"/>
      <c r="S2" s="125"/>
    </row>
    <row r="3" spans="1:45" x14ac:dyDescent="0.2">
      <c r="A3" s="17"/>
      <c r="B3" s="3"/>
      <c r="C3" s="4"/>
      <c r="D3" s="4"/>
      <c r="E3" s="4"/>
      <c r="F3" s="4"/>
      <c r="G3" s="213" t="s">
        <v>4</v>
      </c>
      <c r="H3" s="214"/>
      <c r="I3" s="1"/>
      <c r="J3" s="50"/>
      <c r="P3" s="51"/>
      <c r="Q3" s="51"/>
      <c r="R3" s="51"/>
      <c r="S3" s="51"/>
      <c r="T3" s="51"/>
      <c r="U3" s="51"/>
      <c r="V3" s="51"/>
      <c r="W3" s="51"/>
      <c r="X3" s="51"/>
      <c r="Y3" s="5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x14ac:dyDescent="0.2">
      <c r="A4" s="17"/>
      <c r="B4" s="215" t="s">
        <v>9</v>
      </c>
      <c r="C4" s="216"/>
      <c r="D4" s="216"/>
      <c r="E4" s="216"/>
      <c r="F4" s="216"/>
      <c r="G4" s="16"/>
      <c r="H4" s="5"/>
      <c r="I4" s="1"/>
      <c r="P4" s="51"/>
      <c r="Q4" s="51"/>
      <c r="R4" s="51"/>
      <c r="S4" s="49" t="s">
        <v>10</v>
      </c>
      <c r="T4" s="51"/>
      <c r="U4" s="51"/>
      <c r="V4" s="51"/>
      <c r="W4" s="51"/>
      <c r="X4" s="51"/>
      <c r="Y4" s="51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x14ac:dyDescent="0.2">
      <c r="A5" s="17"/>
      <c r="B5" s="215" t="s">
        <v>11</v>
      </c>
      <c r="C5" s="216"/>
      <c r="D5" s="216"/>
      <c r="E5" s="216"/>
      <c r="F5" s="216"/>
      <c r="G5" s="16"/>
      <c r="H5" s="6"/>
      <c r="I5" s="1"/>
      <c r="P5" s="51"/>
      <c r="Q5" s="51"/>
      <c r="R5" s="51"/>
      <c r="S5" s="51">
        <v>0.81699999999999995</v>
      </c>
      <c r="T5" s="51"/>
      <c r="U5" s="51"/>
      <c r="V5" s="51"/>
      <c r="W5" s="51"/>
      <c r="X5" s="51"/>
      <c r="Y5" s="51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x14ac:dyDescent="0.2">
      <c r="A6" s="17"/>
      <c r="B6" s="215" t="s">
        <v>12</v>
      </c>
      <c r="C6" s="216"/>
      <c r="D6" s="216"/>
      <c r="E6" s="216"/>
      <c r="F6" s="216"/>
      <c r="G6" s="16"/>
      <c r="H6" s="7"/>
      <c r="I6" s="1"/>
      <c r="P6" s="51"/>
      <c r="Q6" s="51"/>
      <c r="R6" s="51"/>
      <c r="S6" s="52">
        <v>2.2050000000000001</v>
      </c>
      <c r="T6" s="51"/>
      <c r="U6" s="51"/>
      <c r="V6" s="51"/>
      <c r="W6" s="51"/>
      <c r="X6" s="51"/>
      <c r="Y6" s="51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x14ac:dyDescent="0.2">
      <c r="A7" s="17"/>
      <c r="B7" s="15" t="s">
        <v>13</v>
      </c>
      <c r="C7" s="16"/>
      <c r="D7" s="16"/>
      <c r="E7" s="16"/>
      <c r="F7" s="16"/>
      <c r="G7" s="8">
        <f>+D100</f>
        <v>0</v>
      </c>
      <c r="H7" s="7" t="s">
        <v>14</v>
      </c>
      <c r="I7" s="1"/>
      <c r="P7" s="50"/>
      <c r="Q7" s="50"/>
      <c r="R7" s="51"/>
      <c r="S7" s="49">
        <v>1.35E-2</v>
      </c>
      <c r="T7" s="51"/>
      <c r="U7" s="51"/>
      <c r="V7" s="51"/>
      <c r="W7" s="51"/>
      <c r="X7" s="51"/>
      <c r="Y7" s="51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x14ac:dyDescent="0.2">
      <c r="A8" s="17"/>
      <c r="B8" s="15" t="s">
        <v>15</v>
      </c>
      <c r="C8" s="16"/>
      <c r="D8" s="16"/>
      <c r="E8" s="16"/>
      <c r="F8" s="16"/>
      <c r="G8" s="8">
        <f t="shared" ref="G8:G9" si="0">+D101</f>
        <v>25</v>
      </c>
      <c r="H8" s="7" t="s">
        <v>14</v>
      </c>
      <c r="I8" s="1"/>
      <c r="K8" s="53" t="s">
        <v>87</v>
      </c>
      <c r="L8" s="54" t="s">
        <v>23</v>
      </c>
      <c r="M8" s="54" t="s">
        <v>23</v>
      </c>
      <c r="N8" s="54" t="s">
        <v>24</v>
      </c>
      <c r="O8" s="54" t="s">
        <v>87</v>
      </c>
      <c r="Q8" s="55" t="s">
        <v>25</v>
      </c>
      <c r="X8" s="51"/>
      <c r="Y8" s="5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x14ac:dyDescent="0.2">
      <c r="A9" s="17"/>
      <c r="B9" s="15" t="s">
        <v>17</v>
      </c>
      <c r="C9" s="16"/>
      <c r="D9" s="16"/>
      <c r="E9" s="16"/>
      <c r="F9" s="16"/>
      <c r="G9" s="8">
        <f t="shared" si="0"/>
        <v>33</v>
      </c>
      <c r="H9" s="7" t="s">
        <v>14</v>
      </c>
      <c r="I9" s="1"/>
      <c r="K9" s="50"/>
      <c r="L9" s="50"/>
      <c r="P9" s="56" t="s">
        <v>28</v>
      </c>
      <c r="Q9" s="50"/>
      <c r="X9" s="51"/>
      <c r="Y9" s="5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x14ac:dyDescent="0.2">
      <c r="A10" s="17"/>
      <c r="B10" s="15" t="s">
        <v>18</v>
      </c>
      <c r="C10" s="16"/>
      <c r="D10" s="16"/>
      <c r="E10" s="16"/>
      <c r="F10" s="16"/>
      <c r="G10" s="8">
        <f>+(G8+G9)/2</f>
        <v>29</v>
      </c>
      <c r="H10" s="7" t="s">
        <v>14</v>
      </c>
      <c r="I10" s="1"/>
      <c r="K10" s="50"/>
      <c r="P10" s="57"/>
      <c r="Q10" s="50"/>
      <c r="X10" s="51"/>
      <c r="Y10" s="5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x14ac:dyDescent="0.2">
      <c r="A11" s="17"/>
      <c r="B11" s="217" t="s">
        <v>21</v>
      </c>
      <c r="C11" s="217"/>
      <c r="D11" s="217"/>
      <c r="E11" s="217"/>
      <c r="F11" s="218"/>
      <c r="G11" s="8">
        <f>+G10-G7</f>
        <v>29</v>
      </c>
      <c r="H11" s="7" t="s">
        <v>19</v>
      </c>
      <c r="I11" s="1"/>
      <c r="K11" s="50" t="s">
        <v>32</v>
      </c>
      <c r="L11" s="51"/>
    </row>
    <row r="12" spans="1:45" x14ac:dyDescent="0.2">
      <c r="A12" s="17"/>
      <c r="B12" s="217" t="s">
        <v>26</v>
      </c>
      <c r="C12" s="217"/>
      <c r="D12" s="217"/>
      <c r="E12" s="217"/>
      <c r="F12" s="218"/>
      <c r="G12" s="8">
        <f>+D103</f>
        <v>200</v>
      </c>
      <c r="H12" s="7" t="s">
        <v>27</v>
      </c>
      <c r="I12" s="17"/>
    </row>
    <row r="13" spans="1:45" x14ac:dyDescent="0.2">
      <c r="A13" s="17"/>
      <c r="B13" s="217" t="s">
        <v>29</v>
      </c>
      <c r="C13" s="217"/>
      <c r="D13" s="217"/>
      <c r="E13" s="217"/>
      <c r="F13" s="218"/>
      <c r="G13" s="18">
        <f>+(G11+273)/(G10+273)</f>
        <v>1</v>
      </c>
      <c r="H13" s="5" t="s">
        <v>30</v>
      </c>
      <c r="I13" s="9"/>
      <c r="J13" s="51" t="s">
        <v>128</v>
      </c>
      <c r="K13" s="49" t="s">
        <v>34</v>
      </c>
      <c r="L13" s="49" t="s">
        <v>35</v>
      </c>
      <c r="M13" s="49" t="s">
        <v>35</v>
      </c>
      <c r="N13" s="49" t="s">
        <v>35</v>
      </c>
      <c r="O13" s="58"/>
      <c r="P13" s="60" t="s">
        <v>142</v>
      </c>
      <c r="Q13" s="59" t="s">
        <v>142</v>
      </c>
      <c r="R13" s="59"/>
      <c r="S13" s="59" t="s">
        <v>36</v>
      </c>
      <c r="T13" s="59" t="s">
        <v>2</v>
      </c>
      <c r="V13" s="49" t="s">
        <v>1</v>
      </c>
      <c r="W13" s="49" t="s">
        <v>86</v>
      </c>
    </row>
    <row r="14" spans="1:45" x14ac:dyDescent="0.2">
      <c r="A14" s="17"/>
      <c r="B14" s="19" t="s">
        <v>31</v>
      </c>
      <c r="C14" s="19">
        <f>+G7</f>
        <v>0</v>
      </c>
      <c r="D14" s="19" t="str">
        <f>+D70</f>
        <v>C20 AR</v>
      </c>
      <c r="E14" s="19" t="str">
        <f>+E70</f>
        <v>Aqua Plasma</v>
      </c>
      <c r="F14" s="19" t="str">
        <f>+F70</f>
        <v>XL 19/49 P</v>
      </c>
      <c r="G14" s="19" t="str">
        <f>+G70</f>
        <v>FK D1</v>
      </c>
      <c r="H14" s="19" t="str">
        <f>+H70</f>
        <v>MT-Power v3.11</v>
      </c>
      <c r="I14" s="17"/>
      <c r="J14" s="51" t="s">
        <v>129</v>
      </c>
      <c r="K14" s="51" t="s">
        <v>38</v>
      </c>
      <c r="L14" s="51" t="s">
        <v>39</v>
      </c>
      <c r="M14" s="51" t="s">
        <v>40</v>
      </c>
      <c r="N14" s="51" t="s">
        <v>41</v>
      </c>
      <c r="O14" s="50" t="s">
        <v>5</v>
      </c>
      <c r="P14" s="60" t="s">
        <v>141</v>
      </c>
      <c r="Q14" s="60" t="s">
        <v>6</v>
      </c>
      <c r="R14" s="59" t="s">
        <v>7</v>
      </c>
      <c r="S14" s="60" t="s">
        <v>42</v>
      </c>
      <c r="T14" s="59" t="s">
        <v>8</v>
      </c>
      <c r="V14" s="49" t="s">
        <v>43</v>
      </c>
      <c r="W14" s="49" t="s">
        <v>85</v>
      </c>
    </row>
    <row r="15" spans="1:45" x14ac:dyDescent="0.2">
      <c r="A15" s="17"/>
      <c r="B15" s="19"/>
      <c r="C15" s="19"/>
      <c r="D15" s="19"/>
      <c r="E15" s="19"/>
      <c r="F15" s="19"/>
      <c r="G15" s="19"/>
      <c r="H15" s="19"/>
      <c r="I15" s="17"/>
      <c r="J15" s="51" t="s">
        <v>93</v>
      </c>
      <c r="K15" s="61">
        <v>0.72699999999999998</v>
      </c>
      <c r="L15" s="61">
        <v>0.63200000000000001</v>
      </c>
      <c r="M15" s="61">
        <v>0.68100000000000005</v>
      </c>
      <c r="N15" s="61">
        <v>0.73399999999999999</v>
      </c>
      <c r="O15" s="61">
        <v>0.80100000000000005</v>
      </c>
      <c r="P15" s="61">
        <v>0.64200000000000002</v>
      </c>
      <c r="Q15" s="61">
        <v>0.64400000000000002</v>
      </c>
      <c r="R15" s="61">
        <v>0.745</v>
      </c>
      <c r="S15" s="61">
        <v>0.71799999999999997</v>
      </c>
      <c r="T15" s="59">
        <v>0.83599999999999997</v>
      </c>
      <c r="V15" s="62">
        <v>0.85299999999999998</v>
      </c>
      <c r="W15" s="62">
        <v>0.81</v>
      </c>
    </row>
    <row r="16" spans="1:45" x14ac:dyDescent="0.2">
      <c r="A16" s="17"/>
      <c r="B16" s="19"/>
      <c r="C16" s="19" t="s">
        <v>33</v>
      </c>
      <c r="D16" s="19">
        <f t="shared" ref="D16:H18" si="1">+D71</f>
        <v>0.85399999999999998</v>
      </c>
      <c r="E16" s="19">
        <f t="shared" si="1"/>
        <v>0.68700000000000006</v>
      </c>
      <c r="F16" s="19">
        <f t="shared" si="1"/>
        <v>0.68799999999999994</v>
      </c>
      <c r="G16" s="19">
        <f t="shared" si="1"/>
        <v>0.78600000000000003</v>
      </c>
      <c r="H16" s="19">
        <f t="shared" si="1"/>
        <v>0.75900000000000001</v>
      </c>
      <c r="I16" s="17"/>
      <c r="J16" s="51" t="s">
        <v>94</v>
      </c>
      <c r="K16" s="61">
        <v>3.948</v>
      </c>
      <c r="L16" s="61">
        <v>1.3380000000000001</v>
      </c>
      <c r="M16" s="61">
        <v>1.96</v>
      </c>
      <c r="N16" s="61">
        <v>1.5920000000000001</v>
      </c>
      <c r="O16" s="61">
        <v>3.64</v>
      </c>
      <c r="P16" s="61">
        <v>0.88500000000000001</v>
      </c>
      <c r="Q16" s="61">
        <v>0.749</v>
      </c>
      <c r="R16" s="61">
        <v>1.53</v>
      </c>
      <c r="S16" s="61">
        <v>0.97399999999999998</v>
      </c>
      <c r="T16" s="59">
        <v>4.16</v>
      </c>
      <c r="V16" s="62">
        <v>4.6980000000000004</v>
      </c>
      <c r="W16" s="62">
        <v>2.21</v>
      </c>
    </row>
    <row r="17" spans="1:23" x14ac:dyDescent="0.2">
      <c r="A17" s="17"/>
      <c r="B17" s="19"/>
      <c r="C17" s="19" t="s">
        <v>37</v>
      </c>
      <c r="D17" s="19">
        <f t="shared" si="1"/>
        <v>3.37</v>
      </c>
      <c r="E17" s="19">
        <f t="shared" si="1"/>
        <v>0.61299999999999999</v>
      </c>
      <c r="F17" s="19">
        <f t="shared" si="1"/>
        <v>0.58299999999999996</v>
      </c>
      <c r="G17" s="19">
        <f t="shared" si="1"/>
        <v>3.63</v>
      </c>
      <c r="H17" s="19">
        <f t="shared" si="1"/>
        <v>0.50800000000000001</v>
      </c>
      <c r="I17" s="17"/>
      <c r="J17" s="68" t="s">
        <v>95</v>
      </c>
      <c r="K17" s="61">
        <v>2.1999999999999999E-2</v>
      </c>
      <c r="L17" s="61">
        <v>1.0999999999999999E-2</v>
      </c>
      <c r="M17" s="61">
        <v>2.7E-2</v>
      </c>
      <c r="N17" s="61">
        <v>1.6E-2</v>
      </c>
      <c r="O17" s="61">
        <v>1.06E-2</v>
      </c>
      <c r="P17" s="61">
        <v>1E-3</v>
      </c>
      <c r="Q17" s="61">
        <v>5.0000000000000001E-3</v>
      </c>
      <c r="R17" s="61">
        <v>3.3E-3</v>
      </c>
      <c r="S17" s="61">
        <v>5.0000000000000001E-3</v>
      </c>
      <c r="T17" s="59">
        <v>1.06E-2</v>
      </c>
      <c r="V17" s="62">
        <v>8.0000000000000002E-3</v>
      </c>
      <c r="W17" s="62">
        <v>6.7999999999999996E-3</v>
      </c>
    </row>
    <row r="18" spans="1:23" x14ac:dyDescent="0.2">
      <c r="A18" s="17"/>
      <c r="B18" s="19"/>
      <c r="C18" s="19" t="s">
        <v>44</v>
      </c>
      <c r="D18" s="19">
        <f t="shared" si="1"/>
        <v>1.04E-2</v>
      </c>
      <c r="E18" s="19">
        <f t="shared" si="1"/>
        <v>3.0000000000000001E-3</v>
      </c>
      <c r="F18" s="19">
        <f t="shared" si="1"/>
        <v>3.0000000000000001E-3</v>
      </c>
      <c r="G18" s="19">
        <f t="shared" si="1"/>
        <v>1.0699999999999999E-2</v>
      </c>
      <c r="H18" s="19">
        <f t="shared" si="1"/>
        <v>7.0000000000000001E-3</v>
      </c>
      <c r="I18" s="17"/>
      <c r="J18" s="72" t="s">
        <v>16</v>
      </c>
      <c r="K18" s="61">
        <v>0.91</v>
      </c>
      <c r="L18" s="61">
        <v>0.92</v>
      </c>
      <c r="M18" s="61">
        <v>0.94</v>
      </c>
      <c r="N18" s="61">
        <v>0.92</v>
      </c>
      <c r="O18" s="61">
        <v>0.94</v>
      </c>
      <c r="P18" s="61">
        <v>0.89</v>
      </c>
      <c r="Q18" s="61">
        <v>0.95</v>
      </c>
      <c r="R18" s="61">
        <v>0.91</v>
      </c>
      <c r="S18" s="61">
        <v>0.87</v>
      </c>
      <c r="T18" s="59">
        <v>0.96</v>
      </c>
      <c r="V18" s="62">
        <v>0.95</v>
      </c>
      <c r="W18" s="62">
        <v>0.92</v>
      </c>
    </row>
    <row r="19" spans="1:23" x14ac:dyDescent="0.2">
      <c r="A19" s="17"/>
      <c r="B19" s="19" t="s">
        <v>45</v>
      </c>
      <c r="C19" s="19" t="s">
        <v>46</v>
      </c>
      <c r="D19" s="19" t="str">
        <f>+D14</f>
        <v>C20 AR</v>
      </c>
      <c r="E19" s="19" t="str">
        <f>+E14</f>
        <v>Aqua Plasma</v>
      </c>
      <c r="F19" s="19" t="str">
        <f>+F14</f>
        <v>XL 19/49 P</v>
      </c>
      <c r="G19" s="19" t="str">
        <f>+G14</f>
        <v>FK D1</v>
      </c>
      <c r="H19" s="19" t="str">
        <f>+H14</f>
        <v>MT-Power v3.11</v>
      </c>
      <c r="I19" s="17"/>
      <c r="J19" s="51" t="s">
        <v>20</v>
      </c>
      <c r="K19" s="61">
        <f>(1.09+0.89)/2</f>
        <v>0.99</v>
      </c>
      <c r="L19" s="61">
        <v>0.96</v>
      </c>
      <c r="M19" s="61">
        <v>1.4</v>
      </c>
      <c r="N19" s="61">
        <v>1.37</v>
      </c>
      <c r="O19" s="61">
        <v>0.94</v>
      </c>
      <c r="P19" s="61">
        <v>0.99</v>
      </c>
      <c r="Q19" s="61">
        <v>0.98</v>
      </c>
      <c r="R19" s="61">
        <v>0.97</v>
      </c>
      <c r="S19" s="61">
        <v>1.08</v>
      </c>
      <c r="T19" s="59">
        <v>0.96</v>
      </c>
      <c r="V19" s="62">
        <v>0.95</v>
      </c>
      <c r="W19" s="62">
        <v>0.92</v>
      </c>
    </row>
    <row r="20" spans="1:23" x14ac:dyDescent="0.2">
      <c r="A20" s="17"/>
      <c r="B20" s="19">
        <v>0</v>
      </c>
      <c r="C20" s="19">
        <f>+B20-$C$14</f>
        <v>0</v>
      </c>
      <c r="D20" s="19">
        <f>+($G$12*D$16-D$17*$C20-D$18*$C20^2)/$G$12</f>
        <v>0.85399999999999987</v>
      </c>
      <c r="E20" s="19">
        <f>+($G$12*E$16-E$17*$C20-E$18*$C20^2)/$G$12</f>
        <v>0.68700000000000006</v>
      </c>
      <c r="F20" s="19">
        <f>+($G$12*F$16-F$17*$C20-F$18*$C20^2)/$G$12</f>
        <v>0.68799999999999994</v>
      </c>
      <c r="G20" s="19">
        <f>+($G$12*G$16-G$17*$C20-G$18*$C20^2)/$G$12</f>
        <v>0.78600000000000003</v>
      </c>
      <c r="H20" s="19">
        <f>+($G$12*H$16-H$17*$C20-H$18*$C20^2)/$G$12</f>
        <v>0.75900000000000001</v>
      </c>
      <c r="I20" s="17"/>
      <c r="J20" s="49" t="s">
        <v>91</v>
      </c>
      <c r="K20" s="61"/>
      <c r="L20" s="61"/>
      <c r="M20" s="61"/>
      <c r="N20" s="61"/>
      <c r="O20" s="61"/>
      <c r="P20" s="61">
        <v>3</v>
      </c>
      <c r="Q20" s="61">
        <v>4.5</v>
      </c>
      <c r="R20" s="61"/>
      <c r="S20" s="61"/>
      <c r="T20" s="59"/>
    </row>
    <row r="21" spans="1:23" x14ac:dyDescent="0.2">
      <c r="A21" s="17"/>
      <c r="B21" s="19">
        <v>5</v>
      </c>
      <c r="C21" s="19">
        <f>+B21-$C$14</f>
        <v>5</v>
      </c>
      <c r="D21" s="19">
        <f t="shared" ref="D21:H41" si="2">+($G$12*D$16-D$17*$C21-D$18*$C21^2)/$G$12</f>
        <v>0.76844999999999997</v>
      </c>
      <c r="E21" s="19">
        <f t="shared" si="2"/>
        <v>0.67130000000000012</v>
      </c>
      <c r="F21" s="19">
        <f t="shared" si="2"/>
        <v>0.67305000000000004</v>
      </c>
      <c r="G21" s="19">
        <f t="shared" si="2"/>
        <v>0.69391250000000004</v>
      </c>
      <c r="H21" s="19">
        <f t="shared" si="2"/>
        <v>0.745425</v>
      </c>
      <c r="I21" s="17"/>
      <c r="J21" s="50" t="s">
        <v>92</v>
      </c>
      <c r="P21" s="49">
        <v>3.37</v>
      </c>
      <c r="Q21" s="49">
        <v>4.93</v>
      </c>
    </row>
    <row r="22" spans="1:23" x14ac:dyDescent="0.2">
      <c r="A22" s="17"/>
      <c r="B22" s="19">
        <v>10</v>
      </c>
      <c r="C22" s="19">
        <f t="shared" ref="C22:C41" si="3">+B22-$C$14</f>
        <v>10</v>
      </c>
      <c r="D22" s="19">
        <f t="shared" si="2"/>
        <v>0.6802999999999999</v>
      </c>
      <c r="E22" s="19">
        <f t="shared" si="2"/>
        <v>0.65485000000000004</v>
      </c>
      <c r="F22" s="19">
        <f t="shared" si="2"/>
        <v>0.65734999999999988</v>
      </c>
      <c r="G22" s="19">
        <f t="shared" si="2"/>
        <v>0.59915000000000018</v>
      </c>
      <c r="H22" s="19">
        <f t="shared" si="2"/>
        <v>0.73010000000000008</v>
      </c>
      <c r="I22" s="17"/>
      <c r="J22" s="50"/>
      <c r="P22" s="49">
        <f>+P20/P21</f>
        <v>0.89020771513353114</v>
      </c>
      <c r="Q22" s="49">
        <f>+Q20/Q21</f>
        <v>0.91277890466531442</v>
      </c>
    </row>
    <row r="23" spans="1:23" x14ac:dyDescent="0.2">
      <c r="A23" s="17"/>
      <c r="B23" s="19">
        <v>15</v>
      </c>
      <c r="C23" s="19">
        <f t="shared" si="3"/>
        <v>15</v>
      </c>
      <c r="D23" s="19">
        <f t="shared" si="2"/>
        <v>0.5895499999999998</v>
      </c>
      <c r="E23" s="19">
        <f t="shared" si="2"/>
        <v>0.63765000000000005</v>
      </c>
      <c r="F23" s="19">
        <f t="shared" si="2"/>
        <v>0.64089999999999991</v>
      </c>
      <c r="G23" s="19">
        <f t="shared" si="2"/>
        <v>0.50171250000000012</v>
      </c>
      <c r="H23" s="19">
        <f t="shared" si="2"/>
        <v>0.71302500000000013</v>
      </c>
      <c r="I23" s="17"/>
      <c r="J23" s="50"/>
    </row>
    <row r="24" spans="1:23" x14ac:dyDescent="0.2">
      <c r="A24" s="17"/>
      <c r="B24" s="19">
        <v>20</v>
      </c>
      <c r="C24" s="19">
        <f t="shared" si="3"/>
        <v>20</v>
      </c>
      <c r="D24" s="19">
        <f t="shared" si="2"/>
        <v>0.49619999999999992</v>
      </c>
      <c r="E24" s="19">
        <f t="shared" si="2"/>
        <v>0.61970000000000003</v>
      </c>
      <c r="F24" s="19">
        <f t="shared" si="2"/>
        <v>0.62369999999999992</v>
      </c>
      <c r="G24" s="19">
        <f t="shared" si="2"/>
        <v>0.40160000000000012</v>
      </c>
      <c r="H24" s="19">
        <f t="shared" si="2"/>
        <v>0.69420000000000004</v>
      </c>
      <c r="I24" s="17"/>
      <c r="J24" s="64"/>
    </row>
    <row r="25" spans="1:23" x14ac:dyDescent="0.2">
      <c r="A25" s="17"/>
      <c r="B25" s="19">
        <v>25</v>
      </c>
      <c r="C25" s="19">
        <f t="shared" si="3"/>
        <v>25</v>
      </c>
      <c r="D25" s="19">
        <f t="shared" si="2"/>
        <v>0.40024999999999994</v>
      </c>
      <c r="E25" s="19">
        <f t="shared" si="2"/>
        <v>0.60099999999999998</v>
      </c>
      <c r="F25" s="19">
        <f t="shared" si="2"/>
        <v>0.60575000000000001</v>
      </c>
      <c r="G25" s="19">
        <f t="shared" si="2"/>
        <v>0.29881250000000009</v>
      </c>
      <c r="H25" s="19">
        <f t="shared" si="2"/>
        <v>0.67362500000000014</v>
      </c>
      <c r="I25" s="17"/>
    </row>
    <row r="26" spans="1:23" x14ac:dyDescent="0.2">
      <c r="A26" s="17"/>
      <c r="B26" s="19">
        <v>30</v>
      </c>
      <c r="C26" s="19">
        <f t="shared" si="3"/>
        <v>30</v>
      </c>
      <c r="D26" s="19">
        <f t="shared" si="2"/>
        <v>0.30169999999999986</v>
      </c>
      <c r="E26" s="19">
        <f t="shared" si="2"/>
        <v>0.58155000000000001</v>
      </c>
      <c r="F26" s="19">
        <f t="shared" si="2"/>
        <v>0.58704999999999996</v>
      </c>
      <c r="G26" s="19">
        <f t="shared" si="2"/>
        <v>0.19335000000000016</v>
      </c>
      <c r="H26" s="19">
        <f t="shared" si="2"/>
        <v>0.65129999999999999</v>
      </c>
      <c r="I26" s="17"/>
      <c r="K26" s="50"/>
      <c r="L26" s="51"/>
    </row>
    <row r="27" spans="1:23" x14ac:dyDescent="0.2">
      <c r="A27" s="17"/>
      <c r="B27" s="19">
        <v>35</v>
      </c>
      <c r="C27" s="19">
        <f t="shared" si="3"/>
        <v>35</v>
      </c>
      <c r="D27" s="19">
        <f t="shared" si="2"/>
        <v>0.2005499999999999</v>
      </c>
      <c r="E27" s="19">
        <f t="shared" si="2"/>
        <v>0.56135000000000002</v>
      </c>
      <c r="F27" s="19">
        <f t="shared" si="2"/>
        <v>0.56759999999999999</v>
      </c>
      <c r="G27" s="19">
        <f t="shared" si="2"/>
        <v>8.5212500000000094E-2</v>
      </c>
      <c r="H27" s="19">
        <f t="shared" si="2"/>
        <v>0.62722500000000003</v>
      </c>
      <c r="I27" s="17"/>
      <c r="K27" s="71" t="s">
        <v>130</v>
      </c>
      <c r="L27" s="65" t="s">
        <v>47</v>
      </c>
      <c r="M27" s="53" t="s">
        <v>48</v>
      </c>
      <c r="N27" s="53" t="s">
        <v>22</v>
      </c>
      <c r="O27" s="53" t="s">
        <v>22</v>
      </c>
      <c r="P27" s="66" t="s">
        <v>23</v>
      </c>
      <c r="Q27" s="66" t="s">
        <v>23</v>
      </c>
      <c r="R27" s="66" t="s">
        <v>24</v>
      </c>
      <c r="S27" s="66" t="s">
        <v>23</v>
      </c>
      <c r="T27" s="66" t="s">
        <v>22</v>
      </c>
      <c r="U27" s="67" t="s">
        <v>120</v>
      </c>
      <c r="W27" s="66"/>
    </row>
    <row r="28" spans="1:23" x14ac:dyDescent="0.2">
      <c r="A28" s="17"/>
      <c r="B28" s="19">
        <v>40</v>
      </c>
      <c r="C28" s="19">
        <f t="shared" si="3"/>
        <v>40</v>
      </c>
      <c r="D28" s="19">
        <f t="shared" si="2"/>
        <v>9.6799999999999858E-2</v>
      </c>
      <c r="E28" s="19">
        <f t="shared" si="2"/>
        <v>0.5404000000000001</v>
      </c>
      <c r="F28" s="19">
        <f t="shared" si="2"/>
        <v>0.5474</v>
      </c>
      <c r="G28" s="19">
        <f t="shared" si="2"/>
        <v>-2.5599999999999845E-2</v>
      </c>
      <c r="H28" s="19">
        <f t="shared" si="2"/>
        <v>0.60140000000000005</v>
      </c>
      <c r="I28" s="17"/>
      <c r="J28" s="51" t="s">
        <v>128</v>
      </c>
      <c r="K28" s="49" t="s">
        <v>71</v>
      </c>
      <c r="L28" s="51" t="s">
        <v>1</v>
      </c>
      <c r="M28" s="51" t="s">
        <v>88</v>
      </c>
      <c r="N28" s="51" t="s">
        <v>106</v>
      </c>
      <c r="O28" s="51" t="s">
        <v>106</v>
      </c>
      <c r="P28" s="51" t="s">
        <v>109</v>
      </c>
      <c r="Q28" s="51" t="s">
        <v>111</v>
      </c>
      <c r="R28" s="51" t="s">
        <v>113</v>
      </c>
      <c r="S28" s="182" t="s">
        <v>115</v>
      </c>
      <c r="T28" s="51" t="s">
        <v>115</v>
      </c>
      <c r="U28" s="51" t="s">
        <v>117</v>
      </c>
    </row>
    <row r="29" spans="1:23" x14ac:dyDescent="0.2">
      <c r="A29" s="17"/>
      <c r="B29" s="19">
        <v>45</v>
      </c>
      <c r="C29" s="19">
        <f t="shared" si="3"/>
        <v>45</v>
      </c>
      <c r="D29" s="19">
        <f t="shared" si="2"/>
        <v>-9.550000000000107E-3</v>
      </c>
      <c r="E29" s="19">
        <f t="shared" si="2"/>
        <v>0.51869999999999994</v>
      </c>
      <c r="F29" s="19">
        <f t="shared" si="2"/>
        <v>0.52644999999999997</v>
      </c>
      <c r="G29" s="19">
        <f t="shared" si="2"/>
        <v>-0.13908749999999989</v>
      </c>
      <c r="H29" s="19">
        <f t="shared" si="2"/>
        <v>0.57382500000000003</v>
      </c>
      <c r="I29" s="17"/>
      <c r="J29" s="51" t="s">
        <v>129</v>
      </c>
      <c r="K29" s="51" t="s">
        <v>72</v>
      </c>
      <c r="L29" s="50" t="s">
        <v>43</v>
      </c>
      <c r="M29" s="49" t="s">
        <v>89</v>
      </c>
      <c r="N29" s="51" t="s">
        <v>107</v>
      </c>
      <c r="O29" s="51" t="s">
        <v>108</v>
      </c>
      <c r="P29" s="51" t="s">
        <v>110</v>
      </c>
      <c r="Q29" s="51" t="s">
        <v>112</v>
      </c>
      <c r="R29" s="51" t="s">
        <v>114</v>
      </c>
      <c r="S29" s="182" t="s">
        <v>116</v>
      </c>
      <c r="T29" s="51" t="s">
        <v>118</v>
      </c>
      <c r="U29" s="51" t="s">
        <v>119</v>
      </c>
    </row>
    <row r="30" spans="1:23" x14ac:dyDescent="0.2">
      <c r="A30" s="17"/>
      <c r="B30" s="19">
        <v>50</v>
      </c>
      <c r="C30" s="19">
        <f t="shared" si="3"/>
        <v>50</v>
      </c>
      <c r="D30" s="19">
        <f t="shared" si="2"/>
        <v>-0.11850000000000009</v>
      </c>
      <c r="E30" s="19">
        <f t="shared" si="2"/>
        <v>0.49625000000000002</v>
      </c>
      <c r="F30" s="19">
        <f t="shared" si="2"/>
        <v>0.50474999999999992</v>
      </c>
      <c r="G30" s="19">
        <f t="shared" si="2"/>
        <v>-0.25524999999999992</v>
      </c>
      <c r="H30" s="19">
        <f t="shared" si="2"/>
        <v>0.54449999999999998</v>
      </c>
      <c r="I30" s="17"/>
      <c r="J30" s="49" t="s">
        <v>93</v>
      </c>
      <c r="K30" s="61">
        <v>0.60499999999999998</v>
      </c>
      <c r="L30" s="51">
        <v>0.88500000000000001</v>
      </c>
      <c r="M30" s="49">
        <v>0.61399999999999999</v>
      </c>
      <c r="N30" s="49">
        <v>0.76300000000000001</v>
      </c>
      <c r="O30" s="49">
        <v>0.85399999999999998</v>
      </c>
      <c r="P30" s="49">
        <v>0.73399999999999999</v>
      </c>
      <c r="Q30" s="49">
        <v>0.53200000000000003</v>
      </c>
      <c r="R30" s="49">
        <v>0.61199999999999999</v>
      </c>
      <c r="S30" s="180">
        <v>0.71799999999999997</v>
      </c>
      <c r="T30" s="49">
        <v>0.61199999999999999</v>
      </c>
      <c r="U30" s="49">
        <v>0.65300000000000002</v>
      </c>
    </row>
    <row r="31" spans="1:23" x14ac:dyDescent="0.2">
      <c r="A31" s="17"/>
      <c r="B31" s="19">
        <v>55</v>
      </c>
      <c r="C31" s="19">
        <f t="shared" si="3"/>
        <v>55</v>
      </c>
      <c r="D31" s="19">
        <f t="shared" si="2"/>
        <v>-0.23005000000000003</v>
      </c>
      <c r="E31" s="19">
        <f t="shared" si="2"/>
        <v>0.47304999999999997</v>
      </c>
      <c r="F31" s="19">
        <f t="shared" si="2"/>
        <v>0.48229999999999995</v>
      </c>
      <c r="G31" s="19">
        <f t="shared" si="2"/>
        <v>-0.37408749999999996</v>
      </c>
      <c r="H31" s="19">
        <f t="shared" si="2"/>
        <v>0.51342500000000013</v>
      </c>
      <c r="I31" s="17"/>
      <c r="J31" s="57" t="s">
        <v>94</v>
      </c>
      <c r="K31" s="61">
        <v>0.85</v>
      </c>
      <c r="L31" s="51">
        <v>4.6980000000000004</v>
      </c>
      <c r="M31" s="49">
        <v>0.39500000000000002</v>
      </c>
      <c r="N31" s="49">
        <v>3.56</v>
      </c>
      <c r="O31" s="49">
        <v>3.37</v>
      </c>
      <c r="P31" s="49">
        <v>1.5289999999999999</v>
      </c>
      <c r="Q31" s="49">
        <v>1.2689999999999999</v>
      </c>
      <c r="R31" s="49">
        <v>2.06</v>
      </c>
      <c r="S31" s="180">
        <v>0.97399999999999998</v>
      </c>
      <c r="T31" s="49">
        <v>1.5049999999999999</v>
      </c>
      <c r="U31" s="49">
        <v>1.41</v>
      </c>
    </row>
    <row r="32" spans="1:23" x14ac:dyDescent="0.2">
      <c r="A32" s="17"/>
      <c r="B32" s="19">
        <v>60</v>
      </c>
      <c r="C32" s="19">
        <f t="shared" si="3"/>
        <v>60</v>
      </c>
      <c r="D32" s="19">
        <f t="shared" si="2"/>
        <v>-0.34420000000000017</v>
      </c>
      <c r="E32" s="19">
        <f t="shared" si="2"/>
        <v>0.44910000000000005</v>
      </c>
      <c r="F32" s="19">
        <f t="shared" si="2"/>
        <v>0.45910000000000006</v>
      </c>
      <c r="G32" s="19">
        <f t="shared" si="2"/>
        <v>-0.49559999999999982</v>
      </c>
      <c r="H32" s="19">
        <f t="shared" si="2"/>
        <v>0.48060000000000003</v>
      </c>
      <c r="I32" s="17"/>
      <c r="J32" s="57" t="s">
        <v>95</v>
      </c>
      <c r="K32" s="61">
        <v>0.01</v>
      </c>
      <c r="L32" s="51">
        <v>8.0000000000000002E-3</v>
      </c>
      <c r="M32" s="49">
        <v>0.02</v>
      </c>
      <c r="N32" s="49">
        <v>1.37E-2</v>
      </c>
      <c r="O32" s="49">
        <v>1.04E-2</v>
      </c>
      <c r="P32" s="49">
        <v>1.6E-2</v>
      </c>
      <c r="Q32" s="49">
        <v>7.0000000000000001E-3</v>
      </c>
      <c r="R32" s="49">
        <v>4.1999999999999997E-3</v>
      </c>
      <c r="S32" s="180">
        <v>5.0000000000000001E-3</v>
      </c>
      <c r="T32" s="49">
        <v>7.0000000000000001E-3</v>
      </c>
      <c r="U32" s="49">
        <v>3.3E-3</v>
      </c>
    </row>
    <row r="33" spans="1:22" x14ac:dyDescent="0.2">
      <c r="A33" s="17"/>
      <c r="B33" s="19">
        <v>65</v>
      </c>
      <c r="C33" s="19">
        <f t="shared" si="3"/>
        <v>65</v>
      </c>
      <c r="D33" s="19">
        <f t="shared" si="2"/>
        <v>-0.46095000000000014</v>
      </c>
      <c r="E33" s="19">
        <f t="shared" si="2"/>
        <v>0.42440000000000005</v>
      </c>
      <c r="F33" s="19">
        <f t="shared" si="2"/>
        <v>0.43514999999999998</v>
      </c>
      <c r="G33" s="19">
        <f t="shared" si="2"/>
        <v>-0.61978749999999982</v>
      </c>
      <c r="H33" s="19">
        <f t="shared" si="2"/>
        <v>0.446025</v>
      </c>
      <c r="I33" s="17"/>
      <c r="J33" s="63" t="s">
        <v>16</v>
      </c>
      <c r="K33" s="61">
        <v>0.92</v>
      </c>
      <c r="L33" s="50">
        <v>0.95</v>
      </c>
      <c r="M33" s="49">
        <v>0.95</v>
      </c>
      <c r="N33" s="49">
        <v>0.82</v>
      </c>
      <c r="O33" s="49">
        <v>0.97</v>
      </c>
      <c r="P33" s="49">
        <v>0.92</v>
      </c>
      <c r="Q33" s="49">
        <v>1.17</v>
      </c>
      <c r="R33" s="49">
        <v>1.26</v>
      </c>
      <c r="S33" s="180">
        <v>1.1000000000000001</v>
      </c>
      <c r="T33" s="49">
        <v>1.1000000000000001</v>
      </c>
      <c r="U33" s="49">
        <v>1.1100000000000001</v>
      </c>
    </row>
    <row r="34" spans="1:22" x14ac:dyDescent="0.2">
      <c r="A34" s="17"/>
      <c r="B34" s="19">
        <v>70</v>
      </c>
      <c r="C34" s="19">
        <f t="shared" si="3"/>
        <v>70</v>
      </c>
      <c r="D34" s="19">
        <f t="shared" si="2"/>
        <v>-0.58030000000000015</v>
      </c>
      <c r="E34" s="19">
        <f t="shared" si="2"/>
        <v>0.39895000000000003</v>
      </c>
      <c r="F34" s="19">
        <f t="shared" si="2"/>
        <v>0.41044999999999993</v>
      </c>
      <c r="G34" s="19">
        <f t="shared" si="2"/>
        <v>-0.74664999999999992</v>
      </c>
      <c r="H34" s="19">
        <f t="shared" si="2"/>
        <v>0.40970000000000001</v>
      </c>
      <c r="I34" s="17"/>
      <c r="J34" s="49" t="s">
        <v>20</v>
      </c>
      <c r="K34" s="61">
        <v>1.1499999999999999</v>
      </c>
      <c r="L34" s="50">
        <v>0.95</v>
      </c>
      <c r="M34" s="49">
        <v>1.04</v>
      </c>
      <c r="N34" s="49">
        <v>0.87</v>
      </c>
      <c r="O34" s="49">
        <v>0.97</v>
      </c>
      <c r="P34" s="49">
        <v>1.37</v>
      </c>
      <c r="Q34" s="49">
        <v>0.88</v>
      </c>
      <c r="R34" s="49">
        <v>0.95</v>
      </c>
      <c r="S34" s="180">
        <v>0.87</v>
      </c>
      <c r="T34" s="49">
        <v>0.87</v>
      </c>
      <c r="U34" s="49">
        <v>0.94</v>
      </c>
    </row>
    <row r="35" spans="1:22" x14ac:dyDescent="0.2">
      <c r="A35" s="17"/>
      <c r="B35" s="19">
        <v>75</v>
      </c>
      <c r="C35" s="19">
        <f t="shared" si="3"/>
        <v>75</v>
      </c>
      <c r="D35" s="19">
        <f t="shared" si="2"/>
        <v>-0.70225000000000004</v>
      </c>
      <c r="E35" s="19">
        <f t="shared" si="2"/>
        <v>0.37275000000000008</v>
      </c>
      <c r="F35" s="19">
        <f t="shared" si="2"/>
        <v>0.38500000000000001</v>
      </c>
      <c r="G35" s="19">
        <f t="shared" si="2"/>
        <v>-0.8761874999999999</v>
      </c>
      <c r="H35" s="19">
        <f t="shared" si="2"/>
        <v>0.37162500000000009</v>
      </c>
      <c r="I35" s="17"/>
      <c r="J35" s="68" t="s">
        <v>91</v>
      </c>
      <c r="K35" s="61"/>
      <c r="L35" s="50"/>
      <c r="M35" s="49">
        <v>0.99</v>
      </c>
      <c r="N35" s="49">
        <v>2.61</v>
      </c>
      <c r="O35" s="49">
        <v>2.39</v>
      </c>
      <c r="P35" s="49">
        <v>2.79</v>
      </c>
      <c r="Q35" s="49">
        <v>3.6</v>
      </c>
      <c r="R35" s="49">
        <v>3.5649999999999999</v>
      </c>
      <c r="S35" s="180">
        <v>2.84</v>
      </c>
      <c r="T35" s="49">
        <v>2.83</v>
      </c>
      <c r="U35" s="49">
        <v>1.962</v>
      </c>
    </row>
    <row r="36" spans="1:22" x14ac:dyDescent="0.2">
      <c r="A36" s="17"/>
      <c r="B36" s="19">
        <v>80</v>
      </c>
      <c r="C36" s="19">
        <f t="shared" si="3"/>
        <v>80</v>
      </c>
      <c r="D36" s="19">
        <f t="shared" si="2"/>
        <v>-0.8268000000000002</v>
      </c>
      <c r="E36" s="19">
        <f t="shared" si="2"/>
        <v>0.34580000000000005</v>
      </c>
      <c r="F36" s="19">
        <f t="shared" si="2"/>
        <v>0.35879999999999995</v>
      </c>
      <c r="G36" s="19">
        <f t="shared" si="2"/>
        <v>-1.0083999999999997</v>
      </c>
      <c r="H36" s="19">
        <f t="shared" si="2"/>
        <v>0.33180000000000009</v>
      </c>
      <c r="I36" s="17"/>
      <c r="J36" s="68" t="s">
        <v>92</v>
      </c>
      <c r="M36" s="49">
        <v>1.18</v>
      </c>
      <c r="N36" s="49">
        <v>2.39</v>
      </c>
      <c r="O36" s="49">
        <v>2.61</v>
      </c>
      <c r="P36" s="49">
        <v>4.7</v>
      </c>
      <c r="Q36" s="49">
        <v>4.8899999999999997</v>
      </c>
      <c r="R36" s="49">
        <v>4.8609999999999998</v>
      </c>
      <c r="S36" s="180">
        <v>3.21</v>
      </c>
      <c r="T36" s="49">
        <v>3.21</v>
      </c>
      <c r="U36" s="49">
        <v>2.2240000000000002</v>
      </c>
    </row>
    <row r="37" spans="1:22" x14ac:dyDescent="0.2">
      <c r="A37" s="17"/>
      <c r="B37" s="19">
        <v>85</v>
      </c>
      <c r="C37" s="19">
        <f t="shared" si="3"/>
        <v>85</v>
      </c>
      <c r="D37" s="19">
        <f t="shared" si="2"/>
        <v>-0.95395000000000008</v>
      </c>
      <c r="E37" s="19">
        <f t="shared" si="2"/>
        <v>0.3181000000000001</v>
      </c>
      <c r="F37" s="19">
        <f t="shared" si="2"/>
        <v>0.33184999999999998</v>
      </c>
      <c r="G37" s="19">
        <f t="shared" si="2"/>
        <v>-1.1432874999999998</v>
      </c>
      <c r="H37" s="19">
        <f t="shared" si="2"/>
        <v>0.29022500000000001</v>
      </c>
      <c r="I37" s="17"/>
      <c r="J37" s="63"/>
      <c r="L37" s="50"/>
      <c r="O37" s="49">
        <f>+O35/O36</f>
        <v>0.91570881226053646</v>
      </c>
      <c r="P37" s="49">
        <f t="shared" ref="P37:R37" si="4">+P35/P36</f>
        <v>0.59361702127659577</v>
      </c>
      <c r="Q37" s="49">
        <f t="shared" si="4"/>
        <v>0.73619631901840499</v>
      </c>
      <c r="R37" s="49">
        <f t="shared" si="4"/>
        <v>0.73338819173009673</v>
      </c>
      <c r="S37" s="49">
        <f t="shared" ref="S37" si="5">+S35/S36</f>
        <v>0.88473520249221183</v>
      </c>
      <c r="T37" s="49">
        <f t="shared" ref="T37" si="6">+T35/T36</f>
        <v>0.88161993769470404</v>
      </c>
      <c r="U37" s="49">
        <f t="shared" ref="U37" si="7">+U35/U36</f>
        <v>0.8821942446043165</v>
      </c>
    </row>
    <row r="38" spans="1:22" x14ac:dyDescent="0.2">
      <c r="A38" s="17"/>
      <c r="B38" s="19">
        <v>90</v>
      </c>
      <c r="C38" s="19">
        <f t="shared" si="3"/>
        <v>90</v>
      </c>
      <c r="D38" s="19">
        <f t="shared" si="2"/>
        <v>-1.0837000000000001</v>
      </c>
      <c r="E38" s="19">
        <f t="shared" si="2"/>
        <v>0.28965000000000002</v>
      </c>
      <c r="F38" s="19">
        <f t="shared" si="2"/>
        <v>0.30414999999999998</v>
      </c>
      <c r="G38" s="19">
        <f t="shared" si="2"/>
        <v>-1.2808499999999998</v>
      </c>
      <c r="H38" s="19">
        <f t="shared" si="2"/>
        <v>0.24690000000000004</v>
      </c>
      <c r="I38" s="17"/>
      <c r="K38" s="73" t="s">
        <v>48</v>
      </c>
      <c r="L38" s="50"/>
      <c r="O38" s="82" t="s">
        <v>132</v>
      </c>
    </row>
    <row r="39" spans="1:22" x14ac:dyDescent="0.2">
      <c r="A39" s="17"/>
      <c r="B39" s="19">
        <v>95</v>
      </c>
      <c r="C39" s="19">
        <f t="shared" si="3"/>
        <v>95</v>
      </c>
      <c r="D39" s="19">
        <f t="shared" si="2"/>
        <v>-1.2160500000000001</v>
      </c>
      <c r="E39" s="19">
        <f t="shared" si="2"/>
        <v>0.26045000000000001</v>
      </c>
      <c r="F39" s="19">
        <f t="shared" si="2"/>
        <v>0.2757</v>
      </c>
      <c r="G39" s="19">
        <f t="shared" si="2"/>
        <v>-1.4210874999999998</v>
      </c>
      <c r="H39" s="19">
        <f t="shared" si="2"/>
        <v>0.20182500000000009</v>
      </c>
      <c r="I39" s="17"/>
      <c r="J39" s="51" t="s">
        <v>128</v>
      </c>
      <c r="K39" s="50" t="s">
        <v>90</v>
      </c>
      <c r="L39" s="50" t="s">
        <v>121</v>
      </c>
      <c r="M39" s="50" t="s">
        <v>121</v>
      </c>
      <c r="N39" s="51" t="s">
        <v>124</v>
      </c>
      <c r="O39" s="51" t="s">
        <v>126</v>
      </c>
      <c r="P39" s="51" t="s">
        <v>131</v>
      </c>
      <c r="Q39" s="49" t="s">
        <v>134</v>
      </c>
      <c r="R39" s="50" t="s">
        <v>90</v>
      </c>
      <c r="S39" s="51" t="s">
        <v>142</v>
      </c>
      <c r="T39" s="51" t="s">
        <v>146</v>
      </c>
      <c r="U39" s="51" t="s">
        <v>148</v>
      </c>
      <c r="V39" s="51" t="s">
        <v>150</v>
      </c>
    </row>
    <row r="40" spans="1:22" ht="24.6" customHeight="1" x14ac:dyDescent="0.2">
      <c r="A40" s="17"/>
      <c r="B40" s="19">
        <v>100</v>
      </c>
      <c r="C40" s="19">
        <f t="shared" si="3"/>
        <v>100</v>
      </c>
      <c r="D40" s="19">
        <f t="shared" si="2"/>
        <v>-1.3510000000000002</v>
      </c>
      <c r="E40" s="19">
        <f t="shared" si="2"/>
        <v>0.23050000000000004</v>
      </c>
      <c r="F40" s="19">
        <f t="shared" si="2"/>
        <v>0.2465</v>
      </c>
      <c r="G40" s="19">
        <f t="shared" si="2"/>
        <v>-1.5639999999999998</v>
      </c>
      <c r="H40" s="19">
        <f t="shared" si="2"/>
        <v>0.15500000000000008</v>
      </c>
      <c r="I40" s="17"/>
      <c r="J40" s="51" t="s">
        <v>129</v>
      </c>
      <c r="K40" s="50" t="s">
        <v>98</v>
      </c>
      <c r="L40" s="50" t="s">
        <v>122</v>
      </c>
      <c r="M40" s="50" t="s">
        <v>123</v>
      </c>
      <c r="N40" s="49" t="s">
        <v>125</v>
      </c>
      <c r="O40" s="51" t="s">
        <v>127</v>
      </c>
      <c r="P40" s="51" t="s">
        <v>143</v>
      </c>
      <c r="Q40" s="49" t="s">
        <v>135</v>
      </c>
      <c r="R40" s="50" t="s">
        <v>136</v>
      </c>
      <c r="S40" s="51" t="s">
        <v>145</v>
      </c>
      <c r="T40" s="51" t="s">
        <v>147</v>
      </c>
      <c r="U40" s="51" t="s">
        <v>149</v>
      </c>
      <c r="V40" s="51" t="s">
        <v>151</v>
      </c>
    </row>
    <row r="41" spans="1:22" x14ac:dyDescent="0.2">
      <c r="A41" s="17"/>
      <c r="B41" s="19">
        <v>105</v>
      </c>
      <c r="C41" s="19">
        <f t="shared" si="3"/>
        <v>105</v>
      </c>
      <c r="D41" s="19">
        <f t="shared" si="2"/>
        <v>-1.4885500000000003</v>
      </c>
      <c r="E41" s="19">
        <f t="shared" si="2"/>
        <v>0.19980000000000003</v>
      </c>
      <c r="F41" s="19">
        <f t="shared" si="2"/>
        <v>0.21654999999999994</v>
      </c>
      <c r="G41" s="19">
        <f t="shared" si="2"/>
        <v>-1.7095874999999998</v>
      </c>
      <c r="H41" s="19">
        <f t="shared" si="2"/>
        <v>0.10642500000000005</v>
      </c>
      <c r="I41" s="17"/>
      <c r="J41" s="50" t="s">
        <v>93</v>
      </c>
      <c r="K41" s="50">
        <v>0.80800000000000005</v>
      </c>
      <c r="L41" s="50">
        <v>0.59899999999999998</v>
      </c>
      <c r="M41" s="50">
        <v>0.58599999999999997</v>
      </c>
      <c r="N41" s="50">
        <v>0.83099999999999996</v>
      </c>
      <c r="O41" s="49">
        <v>0.76500000000000001</v>
      </c>
      <c r="P41" s="49">
        <v>0.71799999999999997</v>
      </c>
      <c r="Q41" s="49">
        <v>0.85</v>
      </c>
      <c r="R41" s="50">
        <v>0.78</v>
      </c>
      <c r="S41" s="49">
        <v>0.68700000000000006</v>
      </c>
      <c r="T41" s="49">
        <v>0.71499999999999997</v>
      </c>
      <c r="U41" s="49">
        <v>0.85399999999999998</v>
      </c>
      <c r="V41" s="49">
        <v>0.80400000000000005</v>
      </c>
    </row>
    <row r="42" spans="1:22" x14ac:dyDescent="0.2">
      <c r="A42" s="17"/>
      <c r="B42" s="20">
        <v>120</v>
      </c>
      <c r="C42" s="20">
        <f>+G11</f>
        <v>29</v>
      </c>
      <c r="D42" s="21">
        <f>+($G$12*D$16-D$17*$C42-D$18*$C42^2)/$G$12</f>
        <v>0.3216179999999999</v>
      </c>
      <c r="E42" s="21">
        <f>+($G$12*E$16-E$17*$C42-E$18*$C42^2)/$G$12</f>
        <v>0.58550000000000002</v>
      </c>
      <c r="F42" s="21">
        <f>+($G$12*F$16-F$17*$C42-F$18*$C42^2)/$G$12</f>
        <v>0.59084999999999999</v>
      </c>
      <c r="G42" s="21">
        <f>+($G$12*G$16-G$17*$C42-G$18*$C42^2)/$G$12</f>
        <v>0.21465650000000011</v>
      </c>
      <c r="H42" s="21">
        <f>+($G$12*H$16-H$17*$C42-H$18*$C42^2)/$G$12</f>
        <v>0.65590500000000007</v>
      </c>
      <c r="I42" s="17"/>
      <c r="J42" s="63" t="s">
        <v>94</v>
      </c>
      <c r="K42" s="50">
        <v>1.123</v>
      </c>
      <c r="L42" s="51">
        <v>1.1339999999999999</v>
      </c>
      <c r="M42" s="51">
        <v>1.4850000000000001</v>
      </c>
      <c r="N42" s="51">
        <v>3.52</v>
      </c>
      <c r="O42" s="49">
        <v>1.66</v>
      </c>
      <c r="P42" s="49">
        <v>0.97399999999999998</v>
      </c>
      <c r="Q42" s="49">
        <v>4.03</v>
      </c>
      <c r="R42" s="50">
        <v>1.95</v>
      </c>
      <c r="S42" s="49">
        <v>0.61299999999999999</v>
      </c>
      <c r="T42" s="49">
        <v>7.98</v>
      </c>
      <c r="U42" s="49">
        <v>5.03</v>
      </c>
      <c r="V42" s="49">
        <v>3.2353999999999998</v>
      </c>
    </row>
    <row r="43" spans="1:22" x14ac:dyDescent="0.2">
      <c r="A43" s="17"/>
      <c r="B43" s="17"/>
      <c r="C43" s="17"/>
      <c r="D43" s="17"/>
      <c r="E43" s="17"/>
      <c r="F43" s="17"/>
      <c r="G43" s="17"/>
      <c r="H43" s="17"/>
      <c r="I43" s="17"/>
      <c r="J43" s="49" t="s">
        <v>95</v>
      </c>
      <c r="K43" s="49">
        <v>1.15E-2</v>
      </c>
      <c r="L43" s="49">
        <v>3.0000000000000001E-3</v>
      </c>
      <c r="M43" s="49">
        <v>2E-3</v>
      </c>
      <c r="N43" s="49">
        <v>1.67E-2</v>
      </c>
      <c r="O43" s="49">
        <v>0</v>
      </c>
      <c r="P43" s="49">
        <v>5.0000000000000001E-3</v>
      </c>
      <c r="Q43" s="49">
        <v>9.1000000000000004E-3</v>
      </c>
      <c r="R43" s="49">
        <v>5.8999999999999999E-3</v>
      </c>
      <c r="S43" s="49">
        <v>3.0000000000000001E-3</v>
      </c>
      <c r="T43" s="49">
        <v>6.64</v>
      </c>
      <c r="U43" s="49">
        <v>2.1899999999999999E-2</v>
      </c>
      <c r="V43" s="49">
        <v>1.17E-2</v>
      </c>
    </row>
    <row r="44" spans="1:22" x14ac:dyDescent="0.2">
      <c r="A44" s="17"/>
      <c r="B44" s="19" t="s">
        <v>45</v>
      </c>
      <c r="C44" s="19" t="s">
        <v>46</v>
      </c>
      <c r="D44" s="22" t="str">
        <f>+D19</f>
        <v>C20 AR</v>
      </c>
      <c r="E44" s="22" t="str">
        <f t="shared" ref="E44:H44" si="8">+E19</f>
        <v>Aqua Plasma</v>
      </c>
      <c r="F44" s="22" t="str">
        <f t="shared" si="8"/>
        <v>XL 19/49 P</v>
      </c>
      <c r="G44" s="22" t="str">
        <f t="shared" si="8"/>
        <v>FK D1</v>
      </c>
      <c r="H44" s="22" t="str">
        <f t="shared" si="8"/>
        <v>MT-Power v3.11</v>
      </c>
      <c r="I44" s="17"/>
      <c r="J44" s="51" t="s">
        <v>16</v>
      </c>
      <c r="K44" s="49">
        <v>1.55</v>
      </c>
      <c r="L44" s="49">
        <v>1.25</v>
      </c>
      <c r="M44" s="49">
        <v>1.27</v>
      </c>
      <c r="N44" s="49">
        <v>0.94</v>
      </c>
      <c r="O44" s="49">
        <v>1.37</v>
      </c>
      <c r="P44" s="49">
        <v>1.08</v>
      </c>
      <c r="Q44" s="49">
        <v>0.95</v>
      </c>
      <c r="R44" s="49">
        <v>1.5</v>
      </c>
      <c r="S44" s="49">
        <v>0.96</v>
      </c>
      <c r="T44" s="49">
        <v>1.02</v>
      </c>
      <c r="U44" s="49">
        <v>1</v>
      </c>
      <c r="V44" s="49">
        <v>0.94</v>
      </c>
    </row>
    <row r="45" spans="1:22" x14ac:dyDescent="0.2">
      <c r="A45" s="17"/>
      <c r="B45" s="19">
        <v>0</v>
      </c>
      <c r="C45" s="19">
        <f>+B45-$C$14</f>
        <v>0</v>
      </c>
      <c r="D45" s="22">
        <f>+D20*(($B45-$C$14)/($B45+273))*$G$12</f>
        <v>0</v>
      </c>
      <c r="E45" s="22">
        <f>+E20*(($B45-$C$14)/($B45+273))*$G$12</f>
        <v>0</v>
      </c>
      <c r="F45" s="22">
        <f>+F20*(($B45-$C$14)/($B45+273))*$G$12</f>
        <v>0</v>
      </c>
      <c r="G45" s="22">
        <f>+G20*(($B45-$C$14)/($B45+273))*$G$12</f>
        <v>0</v>
      </c>
      <c r="H45" s="22">
        <f>+H20*(($B45-$C$14)/($B45+273))*$G$12</f>
        <v>0</v>
      </c>
      <c r="I45" s="17"/>
      <c r="J45" s="57" t="s">
        <v>20</v>
      </c>
      <c r="K45" s="49">
        <v>0.97</v>
      </c>
      <c r="L45" s="49">
        <v>1</v>
      </c>
      <c r="M45" s="49">
        <v>1</v>
      </c>
      <c r="N45" s="49">
        <v>0.94</v>
      </c>
      <c r="O45" s="59">
        <v>0.91</v>
      </c>
      <c r="P45" s="59">
        <v>0.99</v>
      </c>
      <c r="Q45" s="59">
        <v>0.95</v>
      </c>
      <c r="R45" s="49">
        <v>0.97</v>
      </c>
      <c r="S45" s="59">
        <v>0.9</v>
      </c>
      <c r="T45" s="59">
        <v>1.02</v>
      </c>
      <c r="U45" s="49">
        <v>1</v>
      </c>
      <c r="V45" s="49">
        <v>0.94</v>
      </c>
    </row>
    <row r="46" spans="1:22" x14ac:dyDescent="0.2">
      <c r="A46" s="17"/>
      <c r="B46" s="19">
        <f>+B21</f>
        <v>5</v>
      </c>
      <c r="C46" s="19">
        <f>+B46-$C$14</f>
        <v>5</v>
      </c>
      <c r="D46" s="22">
        <f t="shared" ref="D46:H61" si="9">+D21*(($B46-$C$14)/($B46+273))*$G$12</f>
        <v>2.7642086330935247</v>
      </c>
      <c r="E46" s="22">
        <f t="shared" si="9"/>
        <v>2.4147482014388491</v>
      </c>
      <c r="F46" s="22">
        <f t="shared" si="9"/>
        <v>2.4210431654676259</v>
      </c>
      <c r="G46" s="22">
        <f t="shared" si="9"/>
        <v>2.4960881294964028</v>
      </c>
      <c r="H46" s="22">
        <f t="shared" si="9"/>
        <v>2.6813848920863306</v>
      </c>
      <c r="I46" s="17"/>
      <c r="J46" s="63" t="s">
        <v>91</v>
      </c>
      <c r="K46" s="49">
        <v>1.1200000000000001</v>
      </c>
      <c r="L46" s="51">
        <v>0.73199999999999998</v>
      </c>
      <c r="M46" s="51">
        <v>4.3920000000000003</v>
      </c>
      <c r="N46" s="49">
        <v>5.16</v>
      </c>
      <c r="O46" s="49">
        <v>2.7040000000000002</v>
      </c>
      <c r="P46" s="49">
        <v>3.31</v>
      </c>
      <c r="Q46" s="49">
        <v>2.3090000000000002</v>
      </c>
      <c r="R46" s="49">
        <v>1.984</v>
      </c>
      <c r="S46" s="49">
        <v>4.5</v>
      </c>
      <c r="T46" s="49">
        <v>1.31</v>
      </c>
      <c r="U46" s="49">
        <v>1.3979999999999999</v>
      </c>
      <c r="V46" s="49">
        <v>1.99</v>
      </c>
    </row>
    <row r="47" spans="1:22" x14ac:dyDescent="0.2">
      <c r="A47" s="17"/>
      <c r="B47" s="19">
        <f t="shared" ref="B47:B66" si="10">+B22</f>
        <v>10</v>
      </c>
      <c r="C47" s="19">
        <f t="shared" ref="C47:C66" si="11">+B47-$C$14</f>
        <v>10</v>
      </c>
      <c r="D47" s="22">
        <f t="shared" si="9"/>
        <v>4.8077738515901052</v>
      </c>
      <c r="E47" s="22">
        <f t="shared" si="9"/>
        <v>4.62791519434629</v>
      </c>
      <c r="F47" s="22">
        <f t="shared" si="9"/>
        <v>4.6455830388692574</v>
      </c>
      <c r="G47" s="22">
        <f t="shared" si="9"/>
        <v>4.2342756183745598</v>
      </c>
      <c r="H47" s="22">
        <f t="shared" si="9"/>
        <v>5.1597173144876329</v>
      </c>
      <c r="I47" s="17"/>
      <c r="J47" s="49" t="s">
        <v>92</v>
      </c>
      <c r="K47" s="49">
        <v>2.1059999999999999</v>
      </c>
      <c r="L47" s="49">
        <v>0.81499999999999995</v>
      </c>
      <c r="M47" s="49">
        <v>4.8689999999999998</v>
      </c>
      <c r="N47" s="49">
        <v>5.61</v>
      </c>
      <c r="O47" s="49">
        <v>4.9400000000000004</v>
      </c>
      <c r="P47" s="49">
        <v>3.75</v>
      </c>
      <c r="Q47" s="49">
        <v>2.35</v>
      </c>
      <c r="R47" s="49">
        <v>3.4569999999999999</v>
      </c>
      <c r="S47" s="49">
        <v>5.01</v>
      </c>
      <c r="T47" s="49">
        <v>1.33</v>
      </c>
      <c r="U47" s="49">
        <v>2.5099999999999998</v>
      </c>
      <c r="V47" s="51">
        <f>2.099*1.099</f>
        <v>2.3068010000000001</v>
      </c>
    </row>
    <row r="48" spans="1:22" x14ac:dyDescent="0.2">
      <c r="A48" s="17"/>
      <c r="B48" s="19">
        <f t="shared" si="10"/>
        <v>15</v>
      </c>
      <c r="C48" s="19">
        <f t="shared" si="11"/>
        <v>15</v>
      </c>
      <c r="D48" s="22">
        <f t="shared" si="9"/>
        <v>6.1411458333333311</v>
      </c>
      <c r="E48" s="22">
        <f t="shared" si="9"/>
        <v>6.6421875000000004</v>
      </c>
      <c r="F48" s="22">
        <f t="shared" si="9"/>
        <v>6.6760416666666655</v>
      </c>
      <c r="G48" s="22">
        <f t="shared" si="9"/>
        <v>5.2261718750000012</v>
      </c>
      <c r="H48" s="22">
        <f t="shared" si="9"/>
        <v>7.4273437500000012</v>
      </c>
      <c r="I48" s="17"/>
      <c r="K48" s="49">
        <f t="shared" ref="K48:Q48" si="12">+K46/K47</f>
        <v>0.53181386514719853</v>
      </c>
      <c r="L48" s="49">
        <f t="shared" si="12"/>
        <v>0.89815950920245402</v>
      </c>
      <c r="M48" s="49">
        <f t="shared" si="12"/>
        <v>0.90203327171903891</v>
      </c>
      <c r="N48" s="49">
        <f t="shared" si="12"/>
        <v>0.9197860962566845</v>
      </c>
      <c r="O48" s="49">
        <f t="shared" si="12"/>
        <v>0.54736842105263162</v>
      </c>
      <c r="P48" s="49">
        <f t="shared" si="12"/>
        <v>0.88266666666666671</v>
      </c>
      <c r="Q48" s="49">
        <f t="shared" si="12"/>
        <v>0.98255319148936171</v>
      </c>
      <c r="R48" s="49">
        <f t="shared" ref="R48:V48" si="13">+R46/R47</f>
        <v>0.57390801272779868</v>
      </c>
      <c r="S48" s="49">
        <f t="shared" si="13"/>
        <v>0.89820359281437134</v>
      </c>
      <c r="T48" s="49">
        <f t="shared" si="13"/>
        <v>0.98496240601503759</v>
      </c>
      <c r="U48" s="49">
        <f t="shared" si="13"/>
        <v>0.5569721115537849</v>
      </c>
      <c r="V48" s="49">
        <f t="shared" si="13"/>
        <v>0.86266652390041443</v>
      </c>
    </row>
    <row r="49" spans="1:22" x14ac:dyDescent="0.2">
      <c r="A49" s="17"/>
      <c r="B49" s="19">
        <f t="shared" si="10"/>
        <v>20</v>
      </c>
      <c r="C49" s="19">
        <f t="shared" si="11"/>
        <v>20</v>
      </c>
      <c r="D49" s="22">
        <f t="shared" si="9"/>
        <v>6.7740614334470983</v>
      </c>
      <c r="E49" s="22">
        <f t="shared" si="9"/>
        <v>8.4600682593856664</v>
      </c>
      <c r="F49" s="22">
        <f t="shared" si="9"/>
        <v>8.5146757679180887</v>
      </c>
      <c r="G49" s="22">
        <f t="shared" si="9"/>
        <v>5.4825938566552921</v>
      </c>
      <c r="H49" s="22">
        <f t="shared" si="9"/>
        <v>9.47713310580205</v>
      </c>
      <c r="I49" s="17"/>
    </row>
    <row r="50" spans="1:22" x14ac:dyDescent="0.2">
      <c r="A50" s="17"/>
      <c r="B50" s="19">
        <f t="shared" si="10"/>
        <v>25</v>
      </c>
      <c r="C50" s="19">
        <f t="shared" si="11"/>
        <v>25</v>
      </c>
      <c r="D50" s="22">
        <f t="shared" si="9"/>
        <v>6.7156040268456367</v>
      </c>
      <c r="E50" s="22">
        <f t="shared" si="9"/>
        <v>10.083892617449665</v>
      </c>
      <c r="F50" s="22">
        <f t="shared" si="9"/>
        <v>10.163590604026847</v>
      </c>
      <c r="G50" s="22">
        <f t="shared" si="9"/>
        <v>5.0136325503355721</v>
      </c>
      <c r="H50" s="22">
        <f t="shared" si="9"/>
        <v>11.302432885906043</v>
      </c>
      <c r="I50" s="17"/>
      <c r="K50" s="83" t="s">
        <v>132</v>
      </c>
      <c r="L50" s="51" t="s">
        <v>133</v>
      </c>
    </row>
    <row r="51" spans="1:22" x14ac:dyDescent="0.2">
      <c r="A51" s="17"/>
      <c r="B51" s="19">
        <f t="shared" si="10"/>
        <v>30</v>
      </c>
      <c r="C51" s="19">
        <f t="shared" si="11"/>
        <v>30</v>
      </c>
      <c r="D51" s="22">
        <f t="shared" si="9"/>
        <v>5.9742574257425716</v>
      </c>
      <c r="E51" s="22">
        <f t="shared" si="9"/>
        <v>11.515841584158416</v>
      </c>
      <c r="F51" s="22">
        <f t="shared" si="9"/>
        <v>11.624752475247524</v>
      </c>
      <c r="G51" s="22">
        <f t="shared" si="9"/>
        <v>3.8287128712871321</v>
      </c>
      <c r="H51" s="22">
        <f t="shared" si="9"/>
        <v>12.897029702970297</v>
      </c>
      <c r="I51" s="17"/>
    </row>
    <row r="52" spans="1:22" ht="13.5" thickBot="1" x14ac:dyDescent="0.25">
      <c r="A52" s="17"/>
      <c r="B52" s="19">
        <f t="shared" si="10"/>
        <v>35</v>
      </c>
      <c r="C52" s="19">
        <f t="shared" si="11"/>
        <v>35</v>
      </c>
      <c r="D52" s="22">
        <f t="shared" si="9"/>
        <v>4.5579545454545425</v>
      </c>
      <c r="E52" s="22">
        <f t="shared" si="9"/>
        <v>12.757954545454545</v>
      </c>
      <c r="F52" s="22">
        <f t="shared" si="9"/>
        <v>12.9</v>
      </c>
      <c r="G52" s="22">
        <f t="shared" si="9"/>
        <v>1.9366477272727292</v>
      </c>
      <c r="H52" s="22">
        <f t="shared" si="9"/>
        <v>14.255113636363637</v>
      </c>
      <c r="I52" s="17"/>
    </row>
    <row r="53" spans="1:22" x14ac:dyDescent="0.2">
      <c r="A53" s="17"/>
      <c r="B53" s="19">
        <f t="shared" si="10"/>
        <v>40</v>
      </c>
      <c r="C53" s="19">
        <f t="shared" si="11"/>
        <v>40</v>
      </c>
      <c r="D53" s="22">
        <f t="shared" si="9"/>
        <v>2.474121405750795</v>
      </c>
      <c r="E53" s="22">
        <f t="shared" si="9"/>
        <v>13.812140575079873</v>
      </c>
      <c r="F53" s="22">
        <f t="shared" si="9"/>
        <v>13.991054313099042</v>
      </c>
      <c r="G53" s="22">
        <f t="shared" si="9"/>
        <v>-0.65431309904152957</v>
      </c>
      <c r="H53" s="22">
        <f t="shared" si="9"/>
        <v>15.371246006389777</v>
      </c>
      <c r="I53" s="17"/>
      <c r="J53" s="51" t="s">
        <v>128</v>
      </c>
      <c r="K53" s="50" t="s">
        <v>163</v>
      </c>
      <c r="L53" s="51" t="s">
        <v>165</v>
      </c>
      <c r="N53" s="59" t="s">
        <v>172</v>
      </c>
      <c r="O53" s="59"/>
      <c r="P53" s="49" t="s">
        <v>180</v>
      </c>
      <c r="Q53" s="49" t="s">
        <v>182</v>
      </c>
      <c r="R53" s="49" t="s">
        <v>192</v>
      </c>
      <c r="S53" s="145" t="s">
        <v>142</v>
      </c>
      <c r="T53" s="49" t="s">
        <v>192</v>
      </c>
      <c r="V53" s="49" t="s">
        <v>196</v>
      </c>
    </row>
    <row r="54" spans="1:22" x14ac:dyDescent="0.2">
      <c r="A54" s="17"/>
      <c r="B54" s="19">
        <f t="shared" si="10"/>
        <v>45</v>
      </c>
      <c r="C54" s="19">
        <f t="shared" si="11"/>
        <v>45</v>
      </c>
      <c r="D54" s="22">
        <f t="shared" si="9"/>
        <v>-0.27028301886792755</v>
      </c>
      <c r="E54" s="22">
        <f t="shared" si="9"/>
        <v>14.680188679245282</v>
      </c>
      <c r="F54" s="22">
        <f t="shared" si="9"/>
        <v>14.899528301886791</v>
      </c>
      <c r="G54" s="22">
        <f t="shared" si="9"/>
        <v>-3.9364386792452799</v>
      </c>
      <c r="H54" s="22">
        <f t="shared" si="9"/>
        <v>16.240330188679245</v>
      </c>
      <c r="I54" s="17"/>
      <c r="J54" s="51" t="s">
        <v>129</v>
      </c>
      <c r="K54" s="50" t="s">
        <v>164</v>
      </c>
      <c r="L54" s="51" t="s">
        <v>166</v>
      </c>
      <c r="N54" s="181" t="s">
        <v>173</v>
      </c>
      <c r="O54" s="60"/>
      <c r="P54" s="49" t="s">
        <v>181</v>
      </c>
      <c r="Q54" s="49" t="s">
        <v>183</v>
      </c>
      <c r="R54" s="49" t="s">
        <v>193</v>
      </c>
      <c r="S54" s="146" t="s">
        <v>145</v>
      </c>
      <c r="T54" s="49" t="s">
        <v>194</v>
      </c>
      <c r="V54" s="49" t="s">
        <v>195</v>
      </c>
    </row>
    <row r="55" spans="1:22" x14ac:dyDescent="0.2">
      <c r="A55" s="17"/>
      <c r="B55" s="19">
        <f t="shared" si="10"/>
        <v>50</v>
      </c>
      <c r="C55" s="19">
        <f t="shared" si="11"/>
        <v>50</v>
      </c>
      <c r="D55" s="22">
        <f t="shared" si="9"/>
        <v>-3.668730650154802</v>
      </c>
      <c r="E55" s="22">
        <f t="shared" si="9"/>
        <v>15.363777089783284</v>
      </c>
      <c r="F55" s="22">
        <f t="shared" si="9"/>
        <v>15.626934984520121</v>
      </c>
      <c r="G55" s="22">
        <f t="shared" si="9"/>
        <v>-7.9024767801857561</v>
      </c>
      <c r="H55" s="22">
        <f t="shared" si="9"/>
        <v>16.857585139318886</v>
      </c>
      <c r="I55" s="17"/>
      <c r="J55" s="50" t="s">
        <v>93</v>
      </c>
      <c r="K55" s="50">
        <v>0.78600000000000003</v>
      </c>
      <c r="L55" s="49">
        <v>0.82099999999999995</v>
      </c>
      <c r="N55" s="59">
        <v>0.75600000000000001</v>
      </c>
      <c r="O55" s="149"/>
      <c r="P55" s="49">
        <v>0.76900000000000002</v>
      </c>
      <c r="Q55" s="49">
        <v>0.61199999999999999</v>
      </c>
      <c r="R55" s="49">
        <v>0.64400000000000002</v>
      </c>
      <c r="S55" s="147">
        <v>0.68700000000000006</v>
      </c>
      <c r="T55" s="49">
        <v>0.68799999999999994</v>
      </c>
      <c r="V55" s="49">
        <v>0.75900000000000001</v>
      </c>
    </row>
    <row r="56" spans="1:22" x14ac:dyDescent="0.2">
      <c r="A56" s="17"/>
      <c r="B56" s="19">
        <f t="shared" si="10"/>
        <v>55</v>
      </c>
      <c r="C56" s="19">
        <f t="shared" si="11"/>
        <v>55</v>
      </c>
      <c r="D56" s="22">
        <f t="shared" si="9"/>
        <v>-7.7150914634146357</v>
      </c>
      <c r="E56" s="22">
        <f t="shared" si="9"/>
        <v>15.864481707317074</v>
      </c>
      <c r="F56" s="22">
        <f t="shared" si="9"/>
        <v>16.174695121951217</v>
      </c>
      <c r="G56" s="22">
        <f t="shared" si="9"/>
        <v>-12.545617378048778</v>
      </c>
      <c r="H56" s="22">
        <f t="shared" si="9"/>
        <v>17.218521341463418</v>
      </c>
      <c r="I56" s="17"/>
      <c r="J56" s="63" t="s">
        <v>94</v>
      </c>
      <c r="K56" s="50">
        <v>3.63</v>
      </c>
      <c r="L56" s="49">
        <v>1.5</v>
      </c>
      <c r="N56" s="59">
        <v>1.3620000000000001</v>
      </c>
      <c r="O56" s="149"/>
      <c r="P56" s="49">
        <v>1.046</v>
      </c>
      <c r="Q56" s="49">
        <v>2.06</v>
      </c>
      <c r="R56" s="49">
        <v>0.749</v>
      </c>
      <c r="S56" s="147">
        <v>0.61299999999999999</v>
      </c>
      <c r="T56" s="49">
        <v>0.58299999999999996</v>
      </c>
      <c r="V56" s="49">
        <v>0.50800000000000001</v>
      </c>
    </row>
    <row r="57" spans="1:22" x14ac:dyDescent="0.2">
      <c r="A57" s="17"/>
      <c r="B57" s="19">
        <f t="shared" si="10"/>
        <v>60</v>
      </c>
      <c r="C57" s="19">
        <f t="shared" si="11"/>
        <v>60</v>
      </c>
      <c r="D57" s="22">
        <f t="shared" si="9"/>
        <v>-12.40360360360361</v>
      </c>
      <c r="E57" s="22">
        <f t="shared" si="9"/>
        <v>16.183783783783785</v>
      </c>
      <c r="F57" s="22">
        <f t="shared" si="9"/>
        <v>16.544144144144145</v>
      </c>
      <c r="G57" s="22">
        <f t="shared" si="9"/>
        <v>-17.859459459459451</v>
      </c>
      <c r="H57" s="22">
        <f t="shared" si="9"/>
        <v>17.318918918918918</v>
      </c>
      <c r="I57" s="17"/>
      <c r="J57" s="49" t="s">
        <v>95</v>
      </c>
      <c r="K57" s="49">
        <v>1.0699999999999999E-2</v>
      </c>
      <c r="L57" s="49">
        <v>3.5000000000000001E-3</v>
      </c>
      <c r="N57" s="59">
        <v>2E-3</v>
      </c>
      <c r="O57" s="149"/>
      <c r="P57" s="49">
        <v>2.5999999999999999E-2</v>
      </c>
      <c r="Q57" s="49">
        <v>4.1999999999999997E-3</v>
      </c>
      <c r="R57" s="49">
        <v>5.0000000000000001E-3</v>
      </c>
      <c r="S57" s="147">
        <v>3.0000000000000001E-3</v>
      </c>
      <c r="T57" s="49">
        <v>3.0000000000000001E-3</v>
      </c>
      <c r="V57" s="49">
        <v>7.0000000000000001E-3</v>
      </c>
    </row>
    <row r="58" spans="1:22" x14ac:dyDescent="0.2">
      <c r="A58" s="17"/>
      <c r="B58" s="19">
        <f t="shared" si="10"/>
        <v>65</v>
      </c>
      <c r="C58" s="19">
        <f t="shared" si="11"/>
        <v>65</v>
      </c>
      <c r="D58" s="22">
        <f t="shared" si="9"/>
        <v>-17.72884615384616</v>
      </c>
      <c r="E58" s="22">
        <f t="shared" si="9"/>
        <v>16.323076923076925</v>
      </c>
      <c r="F58" s="22">
        <f t="shared" si="9"/>
        <v>16.736538461538462</v>
      </c>
      <c r="G58" s="22">
        <f t="shared" si="9"/>
        <v>-23.837980769230764</v>
      </c>
      <c r="H58" s="22">
        <f t="shared" si="9"/>
        <v>17.154807692307696</v>
      </c>
      <c r="I58" s="17"/>
      <c r="J58" s="51" t="s">
        <v>16</v>
      </c>
      <c r="K58" s="49">
        <v>0.9</v>
      </c>
      <c r="L58" s="49">
        <v>0.94</v>
      </c>
      <c r="N58" s="59">
        <v>1.01</v>
      </c>
      <c r="O58" s="149"/>
      <c r="P58" s="49">
        <v>0.89</v>
      </c>
      <c r="Q58" s="49">
        <v>0.93</v>
      </c>
      <c r="R58" s="49">
        <v>0.98</v>
      </c>
      <c r="S58" s="147">
        <v>0.96</v>
      </c>
      <c r="T58" s="49">
        <v>0.96</v>
      </c>
      <c r="V58" s="49">
        <v>0.91</v>
      </c>
    </row>
    <row r="59" spans="1:22" x14ac:dyDescent="0.2">
      <c r="A59" s="17"/>
      <c r="B59" s="19">
        <f t="shared" si="10"/>
        <v>70</v>
      </c>
      <c r="C59" s="19">
        <f t="shared" si="11"/>
        <v>70</v>
      </c>
      <c r="D59" s="22">
        <f t="shared" si="9"/>
        <v>-23.685714285714294</v>
      </c>
      <c r="E59" s="22">
        <f t="shared" si="9"/>
        <v>16.283673469387757</v>
      </c>
      <c r="F59" s="22">
        <f t="shared" si="9"/>
        <v>16.753061224489795</v>
      </c>
      <c r="G59" s="22">
        <f t="shared" si="9"/>
        <v>-30.47551020408163</v>
      </c>
      <c r="H59" s="22">
        <f t="shared" si="9"/>
        <v>16.722448979591835</v>
      </c>
      <c r="I59" s="17"/>
      <c r="J59" s="57" t="s">
        <v>20</v>
      </c>
      <c r="K59" s="49">
        <v>0.9</v>
      </c>
      <c r="L59" s="49">
        <v>0.97</v>
      </c>
      <c r="N59" s="59">
        <v>0.95</v>
      </c>
      <c r="O59" s="59"/>
      <c r="P59" s="49">
        <v>1.36</v>
      </c>
      <c r="Q59" s="49">
        <v>1.2</v>
      </c>
      <c r="R59" s="49">
        <v>0.95</v>
      </c>
      <c r="S59" s="147">
        <v>0.9</v>
      </c>
      <c r="T59" s="49">
        <v>0.9</v>
      </c>
      <c r="V59" s="49">
        <v>0.91</v>
      </c>
    </row>
    <row r="60" spans="1:22" x14ac:dyDescent="0.2">
      <c r="A60" s="17"/>
      <c r="B60" s="19">
        <f t="shared" si="10"/>
        <v>75</v>
      </c>
      <c r="C60" s="19">
        <f t="shared" si="11"/>
        <v>75</v>
      </c>
      <c r="D60" s="22">
        <f t="shared" si="9"/>
        <v>-30.269396551724135</v>
      </c>
      <c r="E60" s="22">
        <f t="shared" si="9"/>
        <v>16.066810344827591</v>
      </c>
      <c r="F60" s="22">
        <f t="shared" si="9"/>
        <v>16.594827586206897</v>
      </c>
      <c r="G60" s="22">
        <f t="shared" si="9"/>
        <v>-37.76670258620689</v>
      </c>
      <c r="H60" s="22">
        <f t="shared" si="9"/>
        <v>16.018318965517246</v>
      </c>
      <c r="I60" s="17"/>
      <c r="J60" s="63" t="s">
        <v>91</v>
      </c>
      <c r="K60" s="49">
        <v>1.831</v>
      </c>
      <c r="L60" s="49">
        <v>3.4049999999999998</v>
      </c>
      <c r="N60" s="59">
        <v>3.19</v>
      </c>
      <c r="O60" s="149"/>
      <c r="P60" s="49">
        <v>2.83</v>
      </c>
      <c r="Q60" s="49">
        <v>3.5649999999999999</v>
      </c>
      <c r="R60" s="49">
        <v>4.5</v>
      </c>
      <c r="S60" s="147">
        <v>4.5</v>
      </c>
      <c r="T60" s="49">
        <v>4.5</v>
      </c>
      <c r="V60" s="49">
        <v>1.05</v>
      </c>
    </row>
    <row r="61" spans="1:22" x14ac:dyDescent="0.2">
      <c r="A61" s="17"/>
      <c r="B61" s="19">
        <f t="shared" si="10"/>
        <v>80</v>
      </c>
      <c r="C61" s="19">
        <f t="shared" si="11"/>
        <v>80</v>
      </c>
      <c r="D61" s="22">
        <f t="shared" si="9"/>
        <v>-37.475354107648734</v>
      </c>
      <c r="E61" s="22">
        <f t="shared" si="9"/>
        <v>15.673654390934846</v>
      </c>
      <c r="F61" s="22">
        <f t="shared" si="9"/>
        <v>16.262889518413594</v>
      </c>
      <c r="G61" s="22">
        <f t="shared" si="9"/>
        <v>-45.706515580736536</v>
      </c>
      <c r="H61" s="22">
        <f t="shared" si="9"/>
        <v>15.039093484419269</v>
      </c>
      <c r="I61" s="17"/>
      <c r="J61" s="49" t="s">
        <v>92</v>
      </c>
      <c r="K61" s="49">
        <v>2.0019999999999998</v>
      </c>
      <c r="L61" s="49">
        <f>2*2.151</f>
        <v>4.3019999999999996</v>
      </c>
      <c r="N61" s="59">
        <v>4.62</v>
      </c>
      <c r="O61" s="149"/>
      <c r="P61" s="49">
        <v>4.4800000000000004</v>
      </c>
      <c r="Q61" s="49">
        <v>4.8609999999999998</v>
      </c>
      <c r="R61" s="49">
        <v>4.9400000000000004</v>
      </c>
      <c r="S61" s="148">
        <v>5.01</v>
      </c>
      <c r="T61" s="49">
        <v>4.9400000000000004</v>
      </c>
      <c r="V61" s="49">
        <v>1.17</v>
      </c>
    </row>
    <row r="62" spans="1:22" x14ac:dyDescent="0.2">
      <c r="A62" s="17"/>
      <c r="B62" s="19">
        <f t="shared" si="10"/>
        <v>85</v>
      </c>
      <c r="C62" s="19">
        <f t="shared" si="11"/>
        <v>85</v>
      </c>
      <c r="D62" s="22">
        <f t="shared" ref="D62:H66" si="14">+D37*(($B62-$C$14)/($B62+273))*$G$12</f>
        <v>-45.299301675977652</v>
      </c>
      <c r="E62" s="22">
        <f t="shared" si="14"/>
        <v>15.105307262569836</v>
      </c>
      <c r="F62" s="22">
        <f t="shared" si="14"/>
        <v>15.758240223463686</v>
      </c>
      <c r="G62" s="22">
        <f t="shared" si="14"/>
        <v>-54.290188547486018</v>
      </c>
      <c r="H62" s="22">
        <f t="shared" si="14"/>
        <v>13.78163407821229</v>
      </c>
      <c r="I62" s="17"/>
      <c r="K62" s="49">
        <f t="shared" ref="K62" si="15">+K60/K61</f>
        <v>0.91458541458541465</v>
      </c>
      <c r="L62" s="49">
        <f>+L60/L61</f>
        <v>0.79149232914923295</v>
      </c>
      <c r="N62" s="49">
        <f>+N60/N61</f>
        <v>0.69047619047619047</v>
      </c>
      <c r="P62" s="49">
        <f t="shared" ref="P62:S62" si="16">+P60/P61</f>
        <v>0.63169642857142849</v>
      </c>
      <c r="Q62" s="49">
        <f t="shared" si="16"/>
        <v>0.73338819173009673</v>
      </c>
      <c r="R62" s="49">
        <f t="shared" si="16"/>
        <v>0.91093117408906876</v>
      </c>
      <c r="S62" s="49">
        <f t="shared" si="16"/>
        <v>0.89820359281437134</v>
      </c>
      <c r="T62" s="49">
        <f t="shared" ref="T62" si="17">+T60/T61</f>
        <v>0.91093117408906876</v>
      </c>
      <c r="V62" s="49">
        <f>+V60/V61</f>
        <v>0.89743589743589758</v>
      </c>
    </row>
    <row r="63" spans="1:22" x14ac:dyDescent="0.2">
      <c r="A63" s="17"/>
      <c r="B63" s="19">
        <f t="shared" si="10"/>
        <v>90</v>
      </c>
      <c r="C63" s="19">
        <f t="shared" si="11"/>
        <v>90</v>
      </c>
      <c r="D63" s="22">
        <f t="shared" si="14"/>
        <v>-53.737190082644638</v>
      </c>
      <c r="E63" s="22">
        <f t="shared" si="14"/>
        <v>14.362809917355374</v>
      </c>
      <c r="F63" s="22">
        <f t="shared" si="14"/>
        <v>15.081818181818182</v>
      </c>
      <c r="G63" s="22">
        <f t="shared" si="14"/>
        <v>-63.513223140495853</v>
      </c>
      <c r="H63" s="22">
        <f t="shared" si="14"/>
        <v>12.242975206611572</v>
      </c>
      <c r="I63" s="17"/>
      <c r="O63" s="69"/>
      <c r="S63" s="74"/>
    </row>
    <row r="64" spans="1:22" x14ac:dyDescent="0.2">
      <c r="A64" s="17"/>
      <c r="B64" s="19">
        <f t="shared" si="10"/>
        <v>95</v>
      </c>
      <c r="C64" s="19">
        <f t="shared" si="11"/>
        <v>95</v>
      </c>
      <c r="D64" s="22">
        <f t="shared" si="14"/>
        <v>-62.785190217391303</v>
      </c>
      <c r="E64" s="22">
        <f t="shared" si="14"/>
        <v>13.447146739130433</v>
      </c>
      <c r="F64" s="22">
        <f t="shared" si="14"/>
        <v>14.234510869565216</v>
      </c>
      <c r="G64" s="22">
        <f t="shared" si="14"/>
        <v>-73.371365489130426</v>
      </c>
      <c r="H64" s="22">
        <f t="shared" si="14"/>
        <v>10.420312500000003</v>
      </c>
      <c r="I64" s="17"/>
      <c r="N64" s="59"/>
      <c r="O64" s="149"/>
      <c r="S64" s="74"/>
      <c r="T64" s="49">
        <v>3349</v>
      </c>
      <c r="V64" s="49">
        <v>795</v>
      </c>
    </row>
    <row r="65" spans="1:23" x14ac:dyDescent="0.2">
      <c r="A65" s="17"/>
      <c r="B65" s="19">
        <f t="shared" si="10"/>
        <v>100</v>
      </c>
      <c r="C65" s="19">
        <f t="shared" si="11"/>
        <v>100</v>
      </c>
      <c r="D65" s="22">
        <f t="shared" si="14"/>
        <v>-72.439678284182321</v>
      </c>
      <c r="E65" s="22">
        <f t="shared" si="14"/>
        <v>12.359249329758716</v>
      </c>
      <c r="F65" s="22">
        <f t="shared" si="14"/>
        <v>13.2171581769437</v>
      </c>
      <c r="G65" s="22">
        <f t="shared" si="14"/>
        <v>-83.860589812332435</v>
      </c>
      <c r="H65" s="22">
        <f t="shared" si="14"/>
        <v>8.3109919571045623</v>
      </c>
      <c r="I65" s="17"/>
      <c r="T65" s="208">
        <f>+T64/T60</f>
        <v>744.22222222222217</v>
      </c>
      <c r="U65" s="208"/>
      <c r="V65" s="208">
        <f>+V64/V60</f>
        <v>757.14285714285711</v>
      </c>
    </row>
    <row r="66" spans="1:23" x14ac:dyDescent="0.2">
      <c r="A66" s="17"/>
      <c r="B66" s="19">
        <f t="shared" si="10"/>
        <v>105</v>
      </c>
      <c r="C66" s="19">
        <f t="shared" si="11"/>
        <v>105</v>
      </c>
      <c r="D66" s="22">
        <f t="shared" si="14"/>
        <v>-82.697222222222251</v>
      </c>
      <c r="E66" s="22">
        <f t="shared" si="14"/>
        <v>11.100000000000003</v>
      </c>
      <c r="F66" s="22">
        <f t="shared" si="14"/>
        <v>12.030555555555553</v>
      </c>
      <c r="G66" s="22">
        <f t="shared" si="14"/>
        <v>-94.977083333333326</v>
      </c>
      <c r="H66" s="22">
        <f t="shared" si="14"/>
        <v>5.9125000000000032</v>
      </c>
      <c r="I66" s="17"/>
      <c r="Q66" s="69"/>
      <c r="R66" s="69"/>
      <c r="T66" s="208">
        <f>+T64/T61</f>
        <v>677.9352226720647</v>
      </c>
      <c r="U66" s="208"/>
      <c r="V66" s="208">
        <f>+V64/V61</f>
        <v>679.48717948717956</v>
      </c>
    </row>
    <row r="67" spans="1:23" x14ac:dyDescent="0.2">
      <c r="A67" s="17"/>
      <c r="B67" s="17"/>
      <c r="C67" s="17"/>
      <c r="D67" s="23">
        <f>+D42*$G13*$G12</f>
        <v>64.323599999999985</v>
      </c>
      <c r="E67" s="23">
        <f>+E42*$G13*$G12</f>
        <v>117.10000000000001</v>
      </c>
      <c r="F67" s="23">
        <f>+F42*$G13*$G12</f>
        <v>118.17</v>
      </c>
      <c r="G67" s="23">
        <f>+G42*$G13*$G12</f>
        <v>42.931300000000022</v>
      </c>
      <c r="H67" s="23">
        <f>+H42*$G13*$G12</f>
        <v>131.18100000000001</v>
      </c>
      <c r="I67" s="17"/>
      <c r="M67" s="51"/>
      <c r="N67" s="51"/>
      <c r="O67" s="51"/>
    </row>
    <row r="68" spans="1:23" ht="13.5" thickBot="1" x14ac:dyDescent="0.25">
      <c r="A68" s="17"/>
      <c r="B68" s="17"/>
      <c r="C68" s="17"/>
      <c r="D68" s="22"/>
      <c r="E68" s="22"/>
      <c r="F68" s="22"/>
      <c r="G68" s="22"/>
      <c r="H68" s="22"/>
      <c r="I68" s="17"/>
      <c r="N68" s="150"/>
      <c r="O68" s="59"/>
    </row>
    <row r="69" spans="1:23" ht="16.149999999999999" customHeight="1" x14ac:dyDescent="0.2">
      <c r="A69" s="17"/>
      <c r="B69" s="24"/>
      <c r="C69" s="95"/>
      <c r="D69" s="137" t="s">
        <v>106</v>
      </c>
      <c r="E69" s="145" t="s">
        <v>142</v>
      </c>
      <c r="F69" s="138" t="s">
        <v>192</v>
      </c>
      <c r="G69" s="133" t="s">
        <v>163</v>
      </c>
      <c r="H69" s="129" t="s">
        <v>196</v>
      </c>
      <c r="I69" s="17"/>
      <c r="J69" s="54" t="s">
        <v>109</v>
      </c>
      <c r="K69" s="133" t="s">
        <v>163</v>
      </c>
      <c r="L69" s="129" t="s">
        <v>115</v>
      </c>
      <c r="M69" s="49" t="s">
        <v>165</v>
      </c>
      <c r="N69" s="151" t="s">
        <v>131</v>
      </c>
      <c r="O69" s="152" t="s">
        <v>148</v>
      </c>
      <c r="P69" s="51" t="s">
        <v>169</v>
      </c>
      <c r="Q69" s="51" t="s">
        <v>169</v>
      </c>
      <c r="R69" s="71" t="s">
        <v>170</v>
      </c>
      <c r="S69" s="49" t="s">
        <v>184</v>
      </c>
      <c r="T69" s="49" t="s">
        <v>184</v>
      </c>
      <c r="U69" s="49" t="s">
        <v>187</v>
      </c>
      <c r="V69" s="49" t="s">
        <v>190</v>
      </c>
    </row>
    <row r="70" spans="1:23" ht="16.149999999999999" customHeight="1" x14ac:dyDescent="0.2">
      <c r="A70" s="17"/>
      <c r="B70" s="24"/>
      <c r="C70" s="95"/>
      <c r="D70" s="139" t="s">
        <v>108</v>
      </c>
      <c r="E70" s="146" t="s">
        <v>145</v>
      </c>
      <c r="F70" s="140" t="s">
        <v>194</v>
      </c>
      <c r="G70" s="134" t="s">
        <v>164</v>
      </c>
      <c r="H70" s="130" t="s">
        <v>195</v>
      </c>
      <c r="I70" s="17"/>
      <c r="J70" s="54" t="s">
        <v>110</v>
      </c>
      <c r="K70" s="134" t="s">
        <v>164</v>
      </c>
      <c r="L70" s="130" t="s">
        <v>116</v>
      </c>
      <c r="M70" s="49" t="s">
        <v>166</v>
      </c>
      <c r="N70" s="153" t="s">
        <v>143</v>
      </c>
      <c r="O70" s="154" t="s">
        <v>149</v>
      </c>
      <c r="P70" s="51" t="s">
        <v>167</v>
      </c>
      <c r="Q70" s="51" t="s">
        <v>168</v>
      </c>
      <c r="R70" s="71" t="s">
        <v>171</v>
      </c>
      <c r="S70" s="49" t="s">
        <v>185</v>
      </c>
      <c r="T70" s="49" t="s">
        <v>186</v>
      </c>
      <c r="U70" s="49" t="s">
        <v>188</v>
      </c>
      <c r="V70" s="49" t="s">
        <v>191</v>
      </c>
    </row>
    <row r="71" spans="1:23" ht="13.9" customHeight="1" x14ac:dyDescent="0.2">
      <c r="A71" s="17"/>
      <c r="B71" s="24"/>
      <c r="C71" s="81" t="s">
        <v>93</v>
      </c>
      <c r="D71" s="141">
        <v>0.85399999999999998</v>
      </c>
      <c r="E71" s="147">
        <v>0.68700000000000006</v>
      </c>
      <c r="F71" s="142">
        <v>0.68799999999999994</v>
      </c>
      <c r="G71" s="135">
        <v>0.78600000000000003</v>
      </c>
      <c r="H71" s="131">
        <v>0.75900000000000001</v>
      </c>
      <c r="I71" s="17"/>
      <c r="J71" s="54">
        <v>0.73399999999999999</v>
      </c>
      <c r="K71" s="135">
        <v>0.78600000000000003</v>
      </c>
      <c r="L71" s="131">
        <v>0.71799999999999997</v>
      </c>
      <c r="M71" s="49">
        <v>0.82099999999999995</v>
      </c>
      <c r="N71" s="155">
        <v>0.71799999999999997</v>
      </c>
      <c r="O71" s="156">
        <v>0.85399999999999998</v>
      </c>
      <c r="P71" s="49">
        <v>0.82399999999999995</v>
      </c>
      <c r="Q71" s="49">
        <v>0.82099999999999995</v>
      </c>
      <c r="R71" s="54">
        <v>0.73199999999999998</v>
      </c>
      <c r="S71" s="49">
        <v>0.66800000000000004</v>
      </c>
      <c r="T71" s="49">
        <v>0.66800000000000004</v>
      </c>
      <c r="U71" s="49">
        <v>0.78900000000000003</v>
      </c>
      <c r="V71" s="49">
        <v>0.95</v>
      </c>
    </row>
    <row r="72" spans="1:23" ht="13.9" customHeight="1" x14ac:dyDescent="0.2">
      <c r="A72" s="17"/>
      <c r="B72" s="24"/>
      <c r="C72" s="81" t="s">
        <v>94</v>
      </c>
      <c r="D72" s="141">
        <v>3.37</v>
      </c>
      <c r="E72" s="147">
        <v>0.61299999999999999</v>
      </c>
      <c r="F72" s="142">
        <v>0.58299999999999996</v>
      </c>
      <c r="G72" s="135">
        <v>3.63</v>
      </c>
      <c r="H72" s="131">
        <v>0.50800000000000001</v>
      </c>
      <c r="I72" s="17"/>
      <c r="J72" s="54">
        <v>1.5289999999999999</v>
      </c>
      <c r="K72" s="135">
        <v>3.63</v>
      </c>
      <c r="L72" s="131">
        <v>0.97399999999999998</v>
      </c>
      <c r="M72" s="49">
        <v>1.5</v>
      </c>
      <c r="N72" s="155">
        <v>0.97399999999999998</v>
      </c>
      <c r="O72" s="156">
        <v>5.03</v>
      </c>
      <c r="P72" s="49">
        <v>1.9319999999999999</v>
      </c>
      <c r="Q72" s="49">
        <v>2.1269999999999998</v>
      </c>
      <c r="R72" s="127">
        <v>3.9335</v>
      </c>
      <c r="S72" s="49">
        <v>1.496</v>
      </c>
      <c r="T72" s="49">
        <v>1.496</v>
      </c>
      <c r="U72" s="49">
        <v>1.0880000000000001</v>
      </c>
      <c r="V72" s="49">
        <v>9</v>
      </c>
      <c r="W72" s="207">
        <v>37675</v>
      </c>
    </row>
    <row r="73" spans="1:23" ht="13.9" customHeight="1" x14ac:dyDescent="0.2">
      <c r="A73" s="17"/>
      <c r="B73" s="24"/>
      <c r="C73" s="81" t="s">
        <v>95</v>
      </c>
      <c r="D73" s="141">
        <v>1.04E-2</v>
      </c>
      <c r="E73" s="147">
        <v>3.0000000000000001E-3</v>
      </c>
      <c r="F73" s="142">
        <v>3.0000000000000001E-3</v>
      </c>
      <c r="G73" s="135">
        <v>1.0699999999999999E-2</v>
      </c>
      <c r="H73" s="131">
        <v>7.0000000000000001E-3</v>
      </c>
      <c r="I73" s="17"/>
      <c r="J73" s="54">
        <v>1.6E-2</v>
      </c>
      <c r="K73" s="135">
        <v>1.0699999999999999E-2</v>
      </c>
      <c r="L73" s="131">
        <v>5.0000000000000001E-3</v>
      </c>
      <c r="M73" s="49">
        <v>3.5000000000000001E-3</v>
      </c>
      <c r="N73" s="155">
        <v>5.0000000000000001E-3</v>
      </c>
      <c r="O73" s="156">
        <v>2.1899999999999999E-2</v>
      </c>
      <c r="P73" s="49">
        <v>1.7999999999999999E-2</v>
      </c>
      <c r="Q73" s="49">
        <v>1.7999999999999999E-2</v>
      </c>
      <c r="R73" s="54">
        <v>8.3999999999999995E-3</v>
      </c>
      <c r="S73" s="49">
        <v>5.0000000000000001E-3</v>
      </c>
      <c r="T73" s="49">
        <v>5.0000000000000001E-3</v>
      </c>
      <c r="U73" s="49">
        <v>3.1E-2</v>
      </c>
      <c r="V73" s="49">
        <v>0.01</v>
      </c>
    </row>
    <row r="74" spans="1:23" ht="13.9" customHeight="1" x14ac:dyDescent="0.2">
      <c r="A74" s="17"/>
      <c r="B74" s="24"/>
      <c r="C74" s="81" t="s">
        <v>16</v>
      </c>
      <c r="D74" s="141">
        <v>0.97</v>
      </c>
      <c r="E74" s="147">
        <v>0.96</v>
      </c>
      <c r="F74" s="142">
        <v>0.96</v>
      </c>
      <c r="G74" s="135">
        <v>0.9</v>
      </c>
      <c r="H74" s="131">
        <v>0.91</v>
      </c>
      <c r="I74" s="17"/>
      <c r="J74" s="54">
        <v>0.92</v>
      </c>
      <c r="K74" s="135">
        <v>0.9</v>
      </c>
      <c r="L74" s="131">
        <v>1.1000000000000001</v>
      </c>
      <c r="M74" s="49">
        <v>0.94</v>
      </c>
      <c r="N74" s="155">
        <v>1.08</v>
      </c>
      <c r="O74" s="156">
        <v>1</v>
      </c>
      <c r="P74" s="49">
        <v>1.35</v>
      </c>
      <c r="Q74" s="49">
        <v>1.3</v>
      </c>
      <c r="R74" s="54">
        <v>0.88</v>
      </c>
      <c r="S74" s="49">
        <v>1.1100000000000001</v>
      </c>
      <c r="T74" s="49">
        <v>1.1100000000000001</v>
      </c>
      <c r="U74" s="49">
        <v>1.32</v>
      </c>
      <c r="V74" s="49">
        <v>1</v>
      </c>
    </row>
    <row r="75" spans="1:23" ht="13.9" customHeight="1" x14ac:dyDescent="0.2">
      <c r="A75" s="17"/>
      <c r="B75" s="24"/>
      <c r="C75" s="81" t="s">
        <v>20</v>
      </c>
      <c r="D75" s="141">
        <v>0.97</v>
      </c>
      <c r="E75" s="147">
        <v>0.9</v>
      </c>
      <c r="F75" s="142">
        <v>0.9</v>
      </c>
      <c r="G75" s="135">
        <v>0.9</v>
      </c>
      <c r="H75" s="131">
        <v>0.91</v>
      </c>
      <c r="I75" s="17"/>
      <c r="J75" s="54">
        <v>1.37</v>
      </c>
      <c r="K75" s="135">
        <v>0.9</v>
      </c>
      <c r="L75" s="131">
        <v>0.87</v>
      </c>
      <c r="M75" s="49">
        <v>0.97</v>
      </c>
      <c r="N75" s="155">
        <v>0.99</v>
      </c>
      <c r="O75" s="156">
        <v>1</v>
      </c>
      <c r="P75" s="49">
        <v>0.73</v>
      </c>
      <c r="Q75" s="49">
        <v>0.75</v>
      </c>
      <c r="R75" s="54">
        <v>0.88</v>
      </c>
      <c r="S75" s="49">
        <v>0.95</v>
      </c>
      <c r="T75" s="49">
        <v>0.95</v>
      </c>
      <c r="U75" s="49">
        <v>0.92</v>
      </c>
      <c r="V75" s="49">
        <v>1</v>
      </c>
    </row>
    <row r="76" spans="1:23" ht="13.9" customHeight="1" x14ac:dyDescent="0.2">
      <c r="A76" s="17"/>
      <c r="B76" s="24"/>
      <c r="C76" s="81" t="s">
        <v>91</v>
      </c>
      <c r="D76" s="141">
        <v>2.39</v>
      </c>
      <c r="E76" s="147">
        <v>4.5</v>
      </c>
      <c r="F76" s="142">
        <v>4.5</v>
      </c>
      <c r="G76" s="135">
        <v>1.831</v>
      </c>
      <c r="H76" s="131">
        <v>1.05</v>
      </c>
      <c r="I76" s="17"/>
      <c r="J76" s="54">
        <v>2.79</v>
      </c>
      <c r="K76" s="135">
        <v>1.831</v>
      </c>
      <c r="L76" s="131">
        <v>2.84</v>
      </c>
      <c r="M76" s="49">
        <v>3.4049999999999998</v>
      </c>
      <c r="N76" s="155">
        <v>3.31</v>
      </c>
      <c r="O76" s="156">
        <v>1.3979999999999999</v>
      </c>
      <c r="P76" s="49">
        <v>1.873</v>
      </c>
      <c r="Q76" s="49">
        <v>2.81</v>
      </c>
      <c r="R76" s="128">
        <v>1.86</v>
      </c>
      <c r="S76" s="49">
        <v>4.41</v>
      </c>
      <c r="T76" s="49">
        <v>3.28</v>
      </c>
      <c r="U76" s="49">
        <v>2.83</v>
      </c>
      <c r="V76" s="49">
        <v>1.8320000000000001</v>
      </c>
    </row>
    <row r="77" spans="1:23" ht="13.9" customHeight="1" x14ac:dyDescent="0.2">
      <c r="A77" s="17"/>
      <c r="B77" s="24"/>
      <c r="C77" s="81" t="s">
        <v>92</v>
      </c>
      <c r="D77" s="143">
        <v>2.61</v>
      </c>
      <c r="E77" s="148">
        <v>5.01</v>
      </c>
      <c r="F77" s="144">
        <v>4.9400000000000004</v>
      </c>
      <c r="G77" s="136">
        <v>2.0019999999999998</v>
      </c>
      <c r="H77" s="132">
        <v>1.17</v>
      </c>
      <c r="I77" s="17"/>
      <c r="J77" s="54">
        <v>4.7</v>
      </c>
      <c r="K77" s="136">
        <v>2.0019999999999998</v>
      </c>
      <c r="L77" s="132">
        <v>3.21</v>
      </c>
      <c r="M77" s="49">
        <v>4.3019999999999996</v>
      </c>
      <c r="N77" s="157">
        <v>3.75</v>
      </c>
      <c r="O77" s="158">
        <v>2.5099999999999998</v>
      </c>
      <c r="P77" s="49">
        <v>3.03</v>
      </c>
      <c r="Q77" s="49">
        <v>4.49</v>
      </c>
      <c r="R77" s="54">
        <v>2.056</v>
      </c>
      <c r="S77" s="49">
        <v>5.12</v>
      </c>
      <c r="T77" s="49">
        <v>3.85</v>
      </c>
      <c r="U77" s="49">
        <v>4.8899999999999997</v>
      </c>
      <c r="V77" s="49">
        <v>2.0790000000000002</v>
      </c>
    </row>
    <row r="78" spans="1:23" ht="13.5" thickBot="1" x14ac:dyDescent="0.25">
      <c r="A78" s="17"/>
      <c r="B78" s="24"/>
      <c r="C78" s="95" t="s">
        <v>99</v>
      </c>
      <c r="D78" s="99">
        <f>+D42</f>
        <v>0.3216179999999999</v>
      </c>
      <c r="E78" s="100">
        <f>+E42</f>
        <v>0.58550000000000002</v>
      </c>
      <c r="F78" s="101">
        <f>+F42</f>
        <v>0.59084999999999999</v>
      </c>
      <c r="G78" s="159">
        <f>+G42</f>
        <v>0.21465650000000011</v>
      </c>
      <c r="H78" s="160">
        <f>+H42</f>
        <v>0.65590500000000007</v>
      </c>
      <c r="I78" s="17"/>
      <c r="K78" s="49">
        <f t="shared" ref="K78:O78" si="18">+K76/K77</f>
        <v>0.91458541458541465</v>
      </c>
      <c r="L78" s="49">
        <f t="shared" si="18"/>
        <v>0.88473520249221183</v>
      </c>
      <c r="M78" s="49">
        <f t="shared" si="18"/>
        <v>0.79149232914923295</v>
      </c>
      <c r="N78" s="49">
        <f t="shared" si="18"/>
        <v>0.88266666666666671</v>
      </c>
      <c r="O78" s="49">
        <f t="shared" si="18"/>
        <v>0.5569721115537849</v>
      </c>
      <c r="P78" s="49">
        <f>+P76/P77</f>
        <v>0.61815181518151818</v>
      </c>
      <c r="Q78" s="49">
        <f t="shared" ref="Q78:V78" si="19">+Q76/Q77</f>
        <v>0.62583518930957682</v>
      </c>
      <c r="R78" s="49">
        <f t="shared" si="19"/>
        <v>0.90466926070038911</v>
      </c>
      <c r="S78" s="49">
        <f t="shared" si="19"/>
        <v>0.861328125</v>
      </c>
      <c r="T78" s="49">
        <f t="shared" si="19"/>
        <v>0.8519480519480519</v>
      </c>
      <c r="U78" s="49">
        <f t="shared" si="19"/>
        <v>0.57873210633946837</v>
      </c>
      <c r="V78" s="49">
        <f t="shared" si="19"/>
        <v>0.88119288119288119</v>
      </c>
    </row>
    <row r="79" spans="1:23" ht="19.899999999999999" customHeight="1" thickBot="1" x14ac:dyDescent="0.25">
      <c r="A79" s="17"/>
      <c r="B79" s="24" t="s">
        <v>46</v>
      </c>
      <c r="C79" s="95" t="s">
        <v>49</v>
      </c>
      <c r="D79" s="227"/>
      <c r="E79" s="228"/>
      <c r="F79" s="228"/>
      <c r="G79" s="228"/>
      <c r="H79" s="229"/>
      <c r="I79" s="17"/>
      <c r="N79" s="59"/>
      <c r="O79" s="149"/>
    </row>
    <row r="80" spans="1:23" ht="13.5" thickBot="1" x14ac:dyDescent="0.25">
      <c r="A80" s="17"/>
      <c r="B80" s="24">
        <f>+G11</f>
        <v>29</v>
      </c>
      <c r="C80" s="26">
        <f>+G12</f>
        <v>200</v>
      </c>
      <c r="D80" s="96">
        <f>+$C80*D78*$D99</f>
        <v>463.12991999999991</v>
      </c>
      <c r="E80" s="97">
        <f>+$C80*E78*$D99</f>
        <v>843.12000000000012</v>
      </c>
      <c r="F80" s="98">
        <f>+$C80*F78*$D99</f>
        <v>850.82400000000007</v>
      </c>
      <c r="G80" s="161">
        <f>+$C80*G78*$D99</f>
        <v>309.10536000000019</v>
      </c>
      <c r="H80" s="96">
        <f>+$C80*H78*$D99</f>
        <v>944.50320000000011</v>
      </c>
      <c r="I80" s="17"/>
    </row>
    <row r="81" spans="1:16" x14ac:dyDescent="0.2">
      <c r="A81" s="17"/>
      <c r="B81" s="25" t="s">
        <v>100</v>
      </c>
      <c r="C81" s="25"/>
      <c r="D81" s="75">
        <f>+D74</f>
        <v>0.97</v>
      </c>
      <c r="E81" s="76">
        <f t="shared" ref="E81:F81" si="20">+E74</f>
        <v>0.96</v>
      </c>
      <c r="F81" s="77">
        <f t="shared" si="20"/>
        <v>0.96</v>
      </c>
      <c r="G81" s="162">
        <f t="shared" ref="G81:H81" si="21">+G74</f>
        <v>0.9</v>
      </c>
      <c r="H81" s="75">
        <f t="shared" si="21"/>
        <v>0.91</v>
      </c>
      <c r="I81" s="17"/>
      <c r="L81" s="183"/>
      <c r="M81" s="184"/>
      <c r="N81" s="185"/>
      <c r="O81" s="184"/>
      <c r="P81" s="186"/>
    </row>
    <row r="82" spans="1:16" x14ac:dyDescent="0.2">
      <c r="A82" s="17"/>
      <c r="B82" s="25" t="s">
        <v>101</v>
      </c>
      <c r="C82" s="25"/>
      <c r="D82" s="75">
        <f>+D75</f>
        <v>0.97</v>
      </c>
      <c r="E82" s="76">
        <f t="shared" ref="E82:F82" si="22">+E75</f>
        <v>0.9</v>
      </c>
      <c r="F82" s="77">
        <f t="shared" si="22"/>
        <v>0.9</v>
      </c>
      <c r="G82" s="162">
        <f t="shared" ref="G82:H82" si="23">+G75</f>
        <v>0.9</v>
      </c>
      <c r="H82" s="75">
        <f t="shared" si="23"/>
        <v>0.91</v>
      </c>
      <c r="I82" s="17"/>
      <c r="L82" s="187"/>
      <c r="M82" s="195" t="s">
        <v>177</v>
      </c>
      <c r="N82" s="195"/>
      <c r="O82" s="189"/>
      <c r="P82" s="190"/>
    </row>
    <row r="83" spans="1:16" x14ac:dyDescent="0.2">
      <c r="A83" s="17"/>
      <c r="B83" s="25" t="s">
        <v>50</v>
      </c>
      <c r="C83" s="24"/>
      <c r="D83" s="28">
        <f>+D82*D81*D80</f>
        <v>435.75894172799991</v>
      </c>
      <c r="E83" s="27">
        <f t="shared" ref="E83:G83" si="24">+E82*E81*E80</f>
        <v>728.45568000000014</v>
      </c>
      <c r="F83" s="29">
        <f>+F82*F81*F80</f>
        <v>735.11193600000001</v>
      </c>
      <c r="G83" s="163">
        <f t="shared" si="24"/>
        <v>250.37534160000018</v>
      </c>
      <c r="H83" s="28">
        <f>+H82*H81*H80</f>
        <v>782.14309992000017</v>
      </c>
      <c r="I83" s="17"/>
      <c r="L83" s="187"/>
      <c r="M83" s="189"/>
      <c r="N83" s="188"/>
      <c r="O83" s="189"/>
      <c r="P83" s="190"/>
    </row>
    <row r="84" spans="1:16" ht="13.5" thickBot="1" x14ac:dyDescent="0.25">
      <c r="A84" s="17"/>
      <c r="B84" s="30" t="s">
        <v>140</v>
      </c>
      <c r="C84" s="31"/>
      <c r="D84" s="32">
        <f>+D80/$D$99</f>
        <v>64.323599999999985</v>
      </c>
      <c r="E84" s="33">
        <f>+E80/$D$99</f>
        <v>117.10000000000001</v>
      </c>
      <c r="F84" s="34">
        <f>+F80/$D$99</f>
        <v>118.17</v>
      </c>
      <c r="G84" s="164">
        <f>+G80/$D$99</f>
        <v>42.931300000000029</v>
      </c>
      <c r="H84" s="32">
        <f>+H80/$D$99</f>
        <v>131.18100000000001</v>
      </c>
      <c r="I84" s="17"/>
      <c r="L84" s="187"/>
      <c r="M84" s="189"/>
      <c r="N84" s="196">
        <f>+N87/N86/N85</f>
        <v>1.3535442820292349</v>
      </c>
      <c r="O84" s="188" t="s">
        <v>19</v>
      </c>
      <c r="P84" s="190"/>
    </row>
    <row r="85" spans="1:16" ht="13.5" thickBot="1" x14ac:dyDescent="0.25">
      <c r="A85" s="17"/>
      <c r="B85" s="30" t="s">
        <v>139</v>
      </c>
      <c r="C85" s="81"/>
      <c r="D85" s="165">
        <f>+D84*D88</f>
        <v>58.90168735632183</v>
      </c>
      <c r="E85" s="166">
        <f>+E84*E88</f>
        <v>105.17964071856289</v>
      </c>
      <c r="F85" s="167">
        <f>+F84*F88</f>
        <v>107.64473684210526</v>
      </c>
      <c r="G85" s="168">
        <f>+G84*G88</f>
        <v>39.264340809190841</v>
      </c>
      <c r="H85" s="169">
        <f>+H84*H88</f>
        <v>117.7265384615385</v>
      </c>
      <c r="I85" s="17"/>
      <c r="J85" s="70"/>
      <c r="L85" s="187" t="s">
        <v>189</v>
      </c>
      <c r="M85" s="189"/>
      <c r="N85" s="189">
        <v>600</v>
      </c>
      <c r="O85" s="189" t="s">
        <v>174</v>
      </c>
      <c r="P85" s="190"/>
    </row>
    <row r="86" spans="1:16" x14ac:dyDescent="0.2">
      <c r="A86" s="17"/>
      <c r="B86" s="30" t="s">
        <v>138</v>
      </c>
      <c r="C86" s="31"/>
      <c r="D86" s="32">
        <f>+D83/$D$99</f>
        <v>60.522075239999985</v>
      </c>
      <c r="E86" s="33">
        <f>+E83/$D$99</f>
        <v>101.17440000000002</v>
      </c>
      <c r="F86" s="34">
        <f>+F83/$D$99</f>
        <v>102.09887999999999</v>
      </c>
      <c r="G86" s="164">
        <f>+G83/$D$99</f>
        <v>34.774353000000026</v>
      </c>
      <c r="H86" s="32">
        <f>+H83/$D$99</f>
        <v>108.63098610000002</v>
      </c>
      <c r="I86" s="17"/>
      <c r="L86" s="187"/>
      <c r="M86" s="189"/>
      <c r="N86" s="189">
        <v>1.163</v>
      </c>
      <c r="O86" s="189" t="s">
        <v>175</v>
      </c>
      <c r="P86" s="190"/>
    </row>
    <row r="87" spans="1:16" x14ac:dyDescent="0.2">
      <c r="A87" s="17"/>
      <c r="B87" s="30" t="s">
        <v>137</v>
      </c>
      <c r="C87" s="25"/>
      <c r="D87" s="32">
        <f>+D86*D88</f>
        <v>55.420597633563212</v>
      </c>
      <c r="E87" s="33">
        <f>+E86*E88</f>
        <v>90.875209580838344</v>
      </c>
      <c r="F87" s="170">
        <f>+F86*F88</f>
        <v>93.005052631578934</v>
      </c>
      <c r="G87" s="164">
        <f>+G86*G88</f>
        <v>31.804116055444581</v>
      </c>
      <c r="H87" s="32">
        <f>+H86*H88</f>
        <v>97.489346500000025</v>
      </c>
      <c r="I87" s="17"/>
      <c r="L87" s="187" t="str">
        <f>+H69</f>
        <v>tvpsolar.com</v>
      </c>
      <c r="M87" s="189"/>
      <c r="N87" s="191">
        <f>+H80</f>
        <v>944.50320000000011</v>
      </c>
      <c r="O87" s="188" t="s">
        <v>176</v>
      </c>
      <c r="P87" s="190"/>
    </row>
    <row r="88" spans="1:16" ht="13.5" thickBot="1" x14ac:dyDescent="0.25">
      <c r="A88" s="17"/>
      <c r="B88" s="25" t="s">
        <v>70</v>
      </c>
      <c r="C88" s="25"/>
      <c r="D88" s="78">
        <f>+D76/D77</f>
        <v>0.91570881226053646</v>
      </c>
      <c r="E88" s="79">
        <f>+E76/E77</f>
        <v>0.89820359281437134</v>
      </c>
      <c r="F88" s="80">
        <f>+F76/F77</f>
        <v>0.91093117408906876</v>
      </c>
      <c r="G88" s="171">
        <f>+G76/G77</f>
        <v>0.91458541458541465</v>
      </c>
      <c r="H88" s="78">
        <f>+H76/H77</f>
        <v>0.89743589743589758</v>
      </c>
      <c r="I88" s="17"/>
      <c r="L88" s="192"/>
      <c r="M88" s="193"/>
      <c r="N88" s="193"/>
      <c r="O88" s="193"/>
      <c r="P88" s="194"/>
    </row>
    <row r="89" spans="1:16" ht="13.5" thickBot="1" x14ac:dyDescent="0.25">
      <c r="A89" s="17"/>
      <c r="B89" s="25" t="s">
        <v>51</v>
      </c>
      <c r="C89" s="25"/>
      <c r="D89" s="85">
        <f>+$D$99/D88</f>
        <v>7.8627615062761507</v>
      </c>
      <c r="E89" s="86">
        <f>+$D$99/E88</f>
        <v>8.016</v>
      </c>
      <c r="F89" s="87">
        <f>+$D$99/F88</f>
        <v>7.9040000000000008</v>
      </c>
      <c r="G89" s="172">
        <f>+$D$99/G88</f>
        <v>7.8724194429273622</v>
      </c>
      <c r="H89" s="85">
        <f>+$D$99/H88</f>
        <v>8.0228571428571414</v>
      </c>
      <c r="I89" s="17"/>
    </row>
    <row r="90" spans="1:16" ht="20.45" customHeight="1" thickBot="1" x14ac:dyDescent="0.25">
      <c r="A90" s="17"/>
      <c r="B90" s="232"/>
      <c r="C90" s="233"/>
      <c r="D90" s="219" t="s">
        <v>52</v>
      </c>
      <c r="E90" s="220"/>
      <c r="F90" s="220"/>
      <c r="G90" s="220"/>
      <c r="H90" s="221"/>
      <c r="I90" s="17"/>
      <c r="L90" s="51" t="s">
        <v>178</v>
      </c>
      <c r="O90" s="51" t="s">
        <v>179</v>
      </c>
    </row>
    <row r="91" spans="1:16" x14ac:dyDescent="0.2">
      <c r="A91" s="17"/>
      <c r="B91" s="17"/>
      <c r="C91" s="25" t="s">
        <v>53</v>
      </c>
      <c r="D91" s="88">
        <f>+D67</f>
        <v>64.323599999999985</v>
      </c>
      <c r="E91" s="89">
        <f>+E67</f>
        <v>117.10000000000001</v>
      </c>
      <c r="F91" s="90">
        <f>+F67</f>
        <v>118.17</v>
      </c>
      <c r="G91" s="173">
        <f>+G67</f>
        <v>42.931300000000022</v>
      </c>
      <c r="H91" s="88">
        <f>+H67</f>
        <v>131.18100000000001</v>
      </c>
      <c r="I91" s="17"/>
    </row>
    <row r="92" spans="1:16" ht="13.5" thickBot="1" x14ac:dyDescent="0.25">
      <c r="A92" s="17"/>
      <c r="B92" s="17"/>
      <c r="C92" s="25" t="s">
        <v>69</v>
      </c>
      <c r="D92" s="91">
        <f>+D91*$D$99</f>
        <v>463.12991999999991</v>
      </c>
      <c r="E92" s="92">
        <f>+E91*$D$99</f>
        <v>843.12000000000012</v>
      </c>
      <c r="F92" s="93">
        <f>+F91*$D$99</f>
        <v>850.82400000000007</v>
      </c>
      <c r="G92" s="174">
        <f>+G91*$D$99</f>
        <v>309.10536000000019</v>
      </c>
      <c r="H92" s="91">
        <f>+H91*$D$99</f>
        <v>944.50320000000011</v>
      </c>
      <c r="I92" s="17"/>
    </row>
    <row r="93" spans="1:16" ht="18.600000000000001" customHeight="1" thickBot="1" x14ac:dyDescent="0.25">
      <c r="A93" s="17"/>
      <c r="B93" s="230"/>
      <c r="C93" s="231"/>
      <c r="D93" s="222" t="s">
        <v>54</v>
      </c>
      <c r="E93" s="223"/>
      <c r="F93" s="223"/>
      <c r="G93" s="223"/>
      <c r="H93" s="224"/>
      <c r="I93" s="17"/>
      <c r="N93" s="71"/>
      <c r="O93" s="71"/>
      <c r="P93" s="71"/>
    </row>
    <row r="94" spans="1:16" x14ac:dyDescent="0.2">
      <c r="A94" s="17"/>
      <c r="B94" s="17"/>
      <c r="C94" s="25" t="s">
        <v>53</v>
      </c>
      <c r="D94" s="88">
        <f>+D91*D$88</f>
        <v>58.90168735632183</v>
      </c>
      <c r="E94" s="89">
        <f t="shared" ref="E94:H94" si="25">+E91*E$88</f>
        <v>105.17964071856289</v>
      </c>
      <c r="F94" s="90">
        <f t="shared" si="25"/>
        <v>107.64473684210526</v>
      </c>
      <c r="G94" s="173">
        <f t="shared" si="25"/>
        <v>39.264340809190834</v>
      </c>
      <c r="H94" s="88">
        <f t="shared" si="25"/>
        <v>117.7265384615385</v>
      </c>
      <c r="I94" s="17"/>
    </row>
    <row r="95" spans="1:16" x14ac:dyDescent="0.2">
      <c r="A95" s="17"/>
      <c r="B95" s="17"/>
      <c r="C95" s="25" t="s">
        <v>68</v>
      </c>
      <c r="D95" s="35">
        <f>+D94*D89</f>
        <v>463.12991999999991</v>
      </c>
      <c r="E95" s="36">
        <f>+E94*E89</f>
        <v>843.12000000000012</v>
      </c>
      <c r="F95" s="37">
        <f>+F94*F89</f>
        <v>850.82400000000007</v>
      </c>
      <c r="G95" s="175">
        <f>+G94*G89</f>
        <v>309.10536000000019</v>
      </c>
      <c r="H95" s="35">
        <f>+H94*H89</f>
        <v>944.50320000000011</v>
      </c>
      <c r="I95" s="17"/>
    </row>
    <row r="96" spans="1:16" ht="13.5" thickBot="1" x14ac:dyDescent="0.25">
      <c r="A96" s="17"/>
      <c r="B96" s="17"/>
      <c r="C96" s="25" t="s">
        <v>105</v>
      </c>
      <c r="D96" s="38">
        <f>+D80/$D107/1000/$D106</f>
        <v>4.9777506448839201E-2</v>
      </c>
      <c r="E96" s="38">
        <f>+E80/$D107/1000/$D106</f>
        <v>9.0619088564058467E-2</v>
      </c>
      <c r="F96" s="38">
        <f t="shared" ref="F96:H96" si="26">+F80/$D107/1000/$D106</f>
        <v>9.1447119518486678E-2</v>
      </c>
      <c r="G96" s="38">
        <f t="shared" si="26"/>
        <v>3.3222846087704233E-2</v>
      </c>
      <c r="H96" s="38">
        <f t="shared" si="26"/>
        <v>0.10151582115219261</v>
      </c>
      <c r="I96" s="17"/>
      <c r="J96" s="94"/>
    </row>
    <row r="97" spans="1:17" ht="25.5" x14ac:dyDescent="0.2">
      <c r="A97" s="17"/>
      <c r="B97" s="17"/>
      <c r="C97" s="25" t="s">
        <v>105</v>
      </c>
      <c r="D97" s="39">
        <f>+D96/60*1000</f>
        <v>0.82962510748065332</v>
      </c>
      <c r="E97" s="40">
        <f>+E96/60*1000</f>
        <v>1.5103181427343078</v>
      </c>
      <c r="F97" s="41">
        <f t="shared" ref="F97:H97" si="27">+F96/60*1000</f>
        <v>1.5241186586414446</v>
      </c>
      <c r="G97" s="176">
        <f t="shared" si="27"/>
        <v>0.55371410146173716</v>
      </c>
      <c r="H97" s="39">
        <f t="shared" si="27"/>
        <v>1.6919303525365434</v>
      </c>
      <c r="I97" s="17"/>
      <c r="K97" s="137" t="s">
        <v>106</v>
      </c>
      <c r="L97" s="145" t="s">
        <v>142</v>
      </c>
      <c r="M97" s="138" t="s">
        <v>142</v>
      </c>
      <c r="N97" s="133" t="s">
        <v>163</v>
      </c>
      <c r="O97" s="129" t="s">
        <v>190</v>
      </c>
    </row>
    <row r="98" spans="1:17" ht="13.5" thickBot="1" x14ac:dyDescent="0.25">
      <c r="A98" s="17"/>
      <c r="B98" s="17"/>
      <c r="C98" s="25" t="s">
        <v>105</v>
      </c>
      <c r="D98" s="42">
        <f>+D97/60</f>
        <v>1.3827085124677556E-2</v>
      </c>
      <c r="E98" s="43">
        <f>+E97/60</f>
        <v>2.5171969045571795E-2</v>
      </c>
      <c r="F98" s="44">
        <f t="shared" ref="F98:H98" si="28">+F97/60</f>
        <v>2.5401977644024076E-2</v>
      </c>
      <c r="G98" s="177">
        <f t="shared" si="28"/>
        <v>9.2285683576956191E-3</v>
      </c>
      <c r="H98" s="42">
        <f t="shared" si="28"/>
        <v>2.8198839208942391E-2</v>
      </c>
      <c r="I98" s="17"/>
      <c r="K98" s="139" t="s">
        <v>108</v>
      </c>
      <c r="L98" s="146" t="s">
        <v>145</v>
      </c>
      <c r="M98" s="140" t="s">
        <v>6</v>
      </c>
      <c r="N98" s="134" t="s">
        <v>164</v>
      </c>
      <c r="O98" s="130" t="s">
        <v>191</v>
      </c>
      <c r="P98" s="74"/>
      <c r="Q98" s="74"/>
    </row>
    <row r="99" spans="1:17" x14ac:dyDescent="0.2">
      <c r="A99" s="17"/>
      <c r="B99" s="225" t="s">
        <v>55</v>
      </c>
      <c r="C99" s="226"/>
      <c r="D99" s="206">
        <v>7.2</v>
      </c>
      <c r="E99" s="17"/>
      <c r="F99" s="17"/>
      <c r="G99" s="17"/>
      <c r="H99" s="17"/>
      <c r="I99" s="17"/>
      <c r="K99" s="141">
        <v>0.85399999999999998</v>
      </c>
      <c r="L99" s="147">
        <v>0.68700000000000006</v>
      </c>
      <c r="M99" s="142">
        <v>0.64400000000000002</v>
      </c>
      <c r="N99" s="135">
        <v>0.78600000000000003</v>
      </c>
      <c r="O99" s="131">
        <v>0.95</v>
      </c>
    </row>
    <row r="100" spans="1:17" x14ac:dyDescent="0.2">
      <c r="A100" s="17"/>
      <c r="B100" s="209" t="s">
        <v>13</v>
      </c>
      <c r="C100" s="209"/>
      <c r="D100" s="48">
        <v>0</v>
      </c>
      <c r="E100" s="10" t="s">
        <v>14</v>
      </c>
      <c r="F100" s="17"/>
      <c r="G100" s="17"/>
      <c r="H100" s="17"/>
      <c r="I100" s="17"/>
      <c r="K100" s="141">
        <v>3.37</v>
      </c>
      <c r="L100" s="147">
        <v>0.61299999999999999</v>
      </c>
      <c r="M100" s="142">
        <v>0.749</v>
      </c>
      <c r="N100" s="135">
        <v>3.63</v>
      </c>
      <c r="O100" s="131">
        <v>9</v>
      </c>
    </row>
    <row r="101" spans="1:17" x14ac:dyDescent="0.2">
      <c r="A101" s="17"/>
      <c r="B101" s="209" t="s">
        <v>64</v>
      </c>
      <c r="C101" s="209"/>
      <c r="D101" s="48">
        <v>25</v>
      </c>
      <c r="E101" s="7" t="s">
        <v>14</v>
      </c>
      <c r="F101" s="17"/>
      <c r="G101" s="17"/>
      <c r="H101" s="17"/>
      <c r="I101" s="17"/>
      <c r="K101" s="141">
        <v>1.04E-2</v>
      </c>
      <c r="L101" s="147">
        <v>3.0000000000000001E-3</v>
      </c>
      <c r="M101" s="142">
        <v>5.0000000000000001E-3</v>
      </c>
      <c r="N101" s="135">
        <v>1.0699999999999999E-2</v>
      </c>
      <c r="O101" s="131">
        <v>0.01</v>
      </c>
    </row>
    <row r="102" spans="1:17" x14ac:dyDescent="0.2">
      <c r="A102" s="17"/>
      <c r="B102" s="209" t="s">
        <v>65</v>
      </c>
      <c r="C102" s="209"/>
      <c r="D102" s="48">
        <v>33</v>
      </c>
      <c r="E102" s="7" t="s">
        <v>14</v>
      </c>
      <c r="F102" s="17"/>
      <c r="G102" s="17"/>
      <c r="H102" s="17"/>
      <c r="I102" s="17"/>
      <c r="K102" s="141">
        <v>0.97</v>
      </c>
      <c r="L102" s="147">
        <v>0.96</v>
      </c>
      <c r="M102" s="142">
        <v>0.95</v>
      </c>
      <c r="N102" s="135">
        <v>0.9</v>
      </c>
      <c r="O102" s="131">
        <v>1</v>
      </c>
    </row>
    <row r="103" spans="1:17" x14ac:dyDescent="0.2">
      <c r="A103" s="17"/>
      <c r="B103" s="209" t="s">
        <v>56</v>
      </c>
      <c r="C103" s="209"/>
      <c r="D103" s="84">
        <v>200</v>
      </c>
      <c r="E103" s="7" t="s">
        <v>27</v>
      </c>
      <c r="F103" s="17"/>
      <c r="G103" s="17"/>
      <c r="H103" s="17"/>
      <c r="I103" s="17"/>
      <c r="K103" s="141">
        <v>0.97</v>
      </c>
      <c r="L103" s="147">
        <v>0.9</v>
      </c>
      <c r="M103" s="142">
        <v>0.98</v>
      </c>
      <c r="N103" s="135">
        <v>0.9</v>
      </c>
      <c r="O103" s="131">
        <v>1</v>
      </c>
    </row>
    <row r="104" spans="1:17" x14ac:dyDescent="0.2">
      <c r="A104" s="17"/>
      <c r="B104" s="209" t="s">
        <v>57</v>
      </c>
      <c r="C104" s="209"/>
      <c r="D104" s="178">
        <f>+(D102+D101)/2</f>
        <v>29</v>
      </c>
      <c r="E104" s="7" t="s">
        <v>159</v>
      </c>
      <c r="F104" s="17"/>
      <c r="G104" s="17"/>
      <c r="H104" s="17"/>
      <c r="I104" s="17"/>
      <c r="K104" s="141">
        <v>2.39</v>
      </c>
      <c r="L104" s="147">
        <v>4.5</v>
      </c>
      <c r="M104" s="142">
        <v>4.5</v>
      </c>
      <c r="N104" s="135">
        <v>1.831</v>
      </c>
      <c r="O104" s="131">
        <v>1.8320000000000001</v>
      </c>
    </row>
    <row r="105" spans="1:17" x14ac:dyDescent="0.2">
      <c r="A105" s="17"/>
      <c r="B105" s="209" t="s">
        <v>58</v>
      </c>
      <c r="C105" s="209"/>
      <c r="D105" s="179">
        <f>+D104-D100</f>
        <v>29</v>
      </c>
      <c r="E105" s="7" t="s">
        <v>19</v>
      </c>
      <c r="F105" s="17"/>
      <c r="G105" s="17"/>
      <c r="H105" s="17"/>
      <c r="I105" s="17"/>
      <c r="K105" s="143">
        <v>2.61</v>
      </c>
      <c r="L105" s="148">
        <v>5.01</v>
      </c>
      <c r="M105" s="144">
        <v>4.93</v>
      </c>
      <c r="N105" s="136">
        <v>2.0019999999999998</v>
      </c>
      <c r="O105" s="132">
        <v>2.0790000000000002</v>
      </c>
    </row>
    <row r="106" spans="1:17" x14ac:dyDescent="0.2">
      <c r="A106" s="17"/>
      <c r="B106" s="209" t="s">
        <v>104</v>
      </c>
      <c r="C106" s="209"/>
      <c r="D106" s="179">
        <f>+D102-D101</f>
        <v>8</v>
      </c>
      <c r="E106" s="7" t="s">
        <v>19</v>
      </c>
      <c r="F106" s="17"/>
      <c r="G106" s="17"/>
      <c r="H106" s="17"/>
      <c r="I106" s="17"/>
    </row>
    <row r="107" spans="1:17" x14ac:dyDescent="0.2">
      <c r="A107" s="17"/>
      <c r="B107" s="15"/>
      <c r="C107" s="14"/>
      <c r="D107" s="178">
        <v>1.163</v>
      </c>
      <c r="E107" s="10" t="s">
        <v>103</v>
      </c>
      <c r="F107" s="17"/>
      <c r="G107" s="17"/>
      <c r="H107" s="17"/>
      <c r="I107" s="17"/>
    </row>
    <row r="108" spans="1:17" x14ac:dyDescent="0.2">
      <c r="A108" s="17"/>
      <c r="B108" s="11"/>
      <c r="C108" s="11"/>
      <c r="D108" s="12"/>
      <c r="E108" s="13"/>
      <c r="F108" s="17"/>
      <c r="G108" s="17"/>
      <c r="H108" s="17"/>
      <c r="I108" s="17"/>
    </row>
    <row r="109" spans="1:17" x14ac:dyDescent="0.2">
      <c r="A109" s="17"/>
      <c r="B109" s="11"/>
      <c r="C109" s="11"/>
      <c r="D109" s="12"/>
      <c r="E109" s="13"/>
      <c r="F109" s="17"/>
      <c r="G109" s="17"/>
      <c r="H109" s="17"/>
      <c r="I109" s="17"/>
    </row>
    <row r="110" spans="1:17" x14ac:dyDescent="0.2">
      <c r="A110" s="17"/>
      <c r="B110" s="11"/>
      <c r="C110" s="11"/>
      <c r="D110" s="12"/>
      <c r="E110" s="13"/>
      <c r="F110" s="17"/>
      <c r="G110" s="17"/>
      <c r="H110" s="17"/>
      <c r="I110" s="17"/>
    </row>
    <row r="111" spans="1:17" x14ac:dyDescent="0.2">
      <c r="A111" s="17"/>
      <c r="B111" s="45" t="s">
        <v>59</v>
      </c>
      <c r="C111" s="17"/>
      <c r="D111" s="17"/>
      <c r="E111" s="17"/>
      <c r="F111" s="17"/>
      <c r="G111" s="17"/>
      <c r="H111" s="17"/>
      <c r="I111" s="17"/>
    </row>
    <row r="112" spans="1:17" x14ac:dyDescent="0.2">
      <c r="A112" s="17"/>
      <c r="B112" s="46" t="s">
        <v>60</v>
      </c>
      <c r="C112" s="17"/>
      <c r="D112" s="17"/>
      <c r="E112" s="17"/>
      <c r="F112" s="17"/>
      <c r="G112" s="17"/>
      <c r="I112" s="17"/>
    </row>
    <row r="113" spans="1:16" ht="13.5" thickBot="1" x14ac:dyDescent="0.25">
      <c r="A113" s="17"/>
      <c r="B113" s="46" t="s">
        <v>162</v>
      </c>
      <c r="C113" s="17"/>
      <c r="D113" s="17"/>
      <c r="E113" s="17"/>
      <c r="F113" s="17"/>
      <c r="G113" s="17"/>
      <c r="I113" s="17"/>
      <c r="O113" s="51" t="s">
        <v>128</v>
      </c>
      <c r="P113" s="49" t="s">
        <v>196</v>
      </c>
    </row>
    <row r="114" spans="1:16" x14ac:dyDescent="0.2">
      <c r="A114" s="197"/>
      <c r="B114" s="198"/>
      <c r="C114" s="198"/>
      <c r="D114" s="199"/>
      <c r="E114" s="17"/>
      <c r="F114" s="17"/>
      <c r="G114" s="17"/>
      <c r="H114" s="17"/>
      <c r="I114" s="17"/>
      <c r="O114" s="51" t="s">
        <v>129</v>
      </c>
      <c r="P114" s="49" t="s">
        <v>195</v>
      </c>
    </row>
    <row r="115" spans="1:16" x14ac:dyDescent="0.2">
      <c r="A115" s="200"/>
      <c r="B115" s="201" t="s">
        <v>61</v>
      </c>
      <c r="C115" s="47" t="s">
        <v>62</v>
      </c>
      <c r="D115" s="202" t="s">
        <v>63</v>
      </c>
      <c r="E115" s="17"/>
      <c r="F115" s="17"/>
      <c r="G115" s="17"/>
      <c r="H115" s="17"/>
      <c r="I115" s="17"/>
      <c r="O115" s="50" t="s">
        <v>93</v>
      </c>
      <c r="P115" s="49">
        <v>0.75900000000000001</v>
      </c>
    </row>
    <row r="116" spans="1:16" ht="13.5" thickBot="1" x14ac:dyDescent="0.25">
      <c r="A116" s="203"/>
      <c r="B116" s="204"/>
      <c r="C116" s="204"/>
      <c r="D116" s="205"/>
      <c r="E116" s="17"/>
      <c r="F116" s="17"/>
      <c r="G116" s="17"/>
      <c r="H116" s="17"/>
      <c r="I116" s="17"/>
      <c r="O116" s="63" t="s">
        <v>94</v>
      </c>
      <c r="P116" s="49">
        <v>0.50800000000000001</v>
      </c>
    </row>
    <row r="117" spans="1:16" x14ac:dyDescent="0.2">
      <c r="A117" s="17"/>
      <c r="B117" s="46" t="s">
        <v>102</v>
      </c>
      <c r="C117" s="17"/>
      <c r="D117" s="17"/>
      <c r="E117" s="17"/>
      <c r="F117" s="17"/>
      <c r="G117" s="17"/>
      <c r="H117" s="17"/>
      <c r="I117" s="17"/>
      <c r="O117" s="49" t="s">
        <v>95</v>
      </c>
      <c r="P117" s="49">
        <v>7.0000000000000001E-3</v>
      </c>
    </row>
    <row r="118" spans="1:16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O118" s="51" t="s">
        <v>16</v>
      </c>
      <c r="P118" s="49">
        <v>0.91</v>
      </c>
    </row>
    <row r="119" spans="1:16" x14ac:dyDescent="0.2">
      <c r="A119" s="17"/>
      <c r="B119" s="17" t="s">
        <v>66</v>
      </c>
      <c r="C119" s="17"/>
      <c r="D119" s="17"/>
      <c r="E119" s="17"/>
      <c r="F119" s="17"/>
      <c r="G119" s="17"/>
      <c r="H119" s="17"/>
      <c r="I119" s="17"/>
      <c r="O119" s="57" t="s">
        <v>20</v>
      </c>
      <c r="P119" s="49">
        <v>0.91</v>
      </c>
    </row>
    <row r="120" spans="1:16" x14ac:dyDescent="0.2">
      <c r="A120" s="17"/>
      <c r="B120" s="17" t="s">
        <v>67</v>
      </c>
      <c r="C120" s="17"/>
      <c r="D120" s="17"/>
      <c r="E120" s="17"/>
      <c r="F120" s="17"/>
      <c r="G120" s="17"/>
      <c r="H120" s="17"/>
      <c r="I120" s="17"/>
      <c r="O120" s="63" t="s">
        <v>91</v>
      </c>
      <c r="P120" s="49">
        <v>1.05</v>
      </c>
    </row>
    <row r="121" spans="1:16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O121" s="49" t="s">
        <v>92</v>
      </c>
      <c r="P121" s="49">
        <v>1.17</v>
      </c>
    </row>
    <row r="122" spans="1:16" x14ac:dyDescent="0.2">
      <c r="A122" s="17"/>
      <c r="B122" s="123" t="s">
        <v>160</v>
      </c>
      <c r="C122" s="17"/>
      <c r="D122" s="17"/>
      <c r="E122" s="17"/>
      <c r="F122" s="17"/>
      <c r="G122" s="17"/>
      <c r="H122" s="17"/>
      <c r="I122" s="17"/>
    </row>
    <row r="123" spans="1:16" x14ac:dyDescent="0.2">
      <c r="A123" s="17"/>
      <c r="B123" s="123" t="s">
        <v>161</v>
      </c>
      <c r="C123" s="17"/>
      <c r="D123" s="17"/>
      <c r="E123" s="17"/>
      <c r="F123" s="17"/>
      <c r="G123" s="17"/>
      <c r="H123" s="17"/>
      <c r="I123" s="17"/>
    </row>
    <row r="124" spans="1:16" x14ac:dyDescent="0.2">
      <c r="A124" s="17"/>
      <c r="C124" s="17"/>
      <c r="D124" s="17"/>
      <c r="E124" s="17"/>
      <c r="F124" s="17"/>
      <c r="G124" s="17"/>
      <c r="H124" s="17"/>
      <c r="I124" s="17"/>
    </row>
    <row r="125" spans="1:16" x14ac:dyDescent="0.2">
      <c r="A125" s="17"/>
      <c r="B125" s="17"/>
      <c r="C125" s="17"/>
      <c r="D125" s="17"/>
      <c r="E125" s="17"/>
      <c r="F125" s="17"/>
      <c r="G125" s="17"/>
      <c r="H125" s="17"/>
      <c r="I125" s="17"/>
    </row>
    <row r="126" spans="1:16" x14ac:dyDescent="0.2">
      <c r="D126" s="122" t="str">
        <f>+D70</f>
        <v>C20 AR</v>
      </c>
      <c r="E126" s="122" t="str">
        <f t="shared" ref="E126:H126" si="29">+E70</f>
        <v>Aqua Plasma</v>
      </c>
      <c r="F126" s="122" t="str">
        <f t="shared" si="29"/>
        <v>XL 19/49 P</v>
      </c>
      <c r="G126" s="122" t="str">
        <f t="shared" si="29"/>
        <v>FK D1</v>
      </c>
      <c r="H126" s="122" t="str">
        <f t="shared" si="29"/>
        <v>MT-Power v3.11</v>
      </c>
    </row>
    <row r="127" spans="1:16" x14ac:dyDescent="0.2">
      <c r="C127" s="2">
        <v>10</v>
      </c>
      <c r="D127" s="121">
        <f t="shared" ref="D127:H148" si="30">+($C127*D$16-D$17*$D$105-D$18*$D$105^2)/$C127</f>
        <v>-9.7936399999999999</v>
      </c>
      <c r="E127" s="121">
        <f t="shared" si="30"/>
        <v>-1.343</v>
      </c>
      <c r="F127" s="121">
        <f t="shared" si="30"/>
        <v>-1.2550000000000001</v>
      </c>
      <c r="G127" s="121">
        <f t="shared" si="30"/>
        <v>-10.64087</v>
      </c>
      <c r="H127" s="121">
        <f t="shared" si="30"/>
        <v>-1.3028999999999999</v>
      </c>
    </row>
    <row r="128" spans="1:16" x14ac:dyDescent="0.2">
      <c r="C128">
        <v>50</v>
      </c>
      <c r="D128" s="121">
        <f t="shared" si="30"/>
        <v>-1.2755280000000002</v>
      </c>
      <c r="E128" s="121">
        <f t="shared" si="30"/>
        <v>0.28100000000000003</v>
      </c>
      <c r="F128" s="121">
        <f t="shared" si="30"/>
        <v>0.2994</v>
      </c>
      <c r="G128" s="121">
        <f t="shared" si="30"/>
        <v>-1.499374</v>
      </c>
      <c r="H128" s="121">
        <f t="shared" si="30"/>
        <v>0.34662000000000004</v>
      </c>
    </row>
    <row r="129" spans="3:8" x14ac:dyDescent="0.2">
      <c r="C129">
        <v>100</v>
      </c>
      <c r="D129" s="121">
        <f t="shared" si="30"/>
        <v>-0.21076400000000015</v>
      </c>
      <c r="E129" s="121">
        <f t="shared" si="30"/>
        <v>0.48399999999999999</v>
      </c>
      <c r="F129" s="121">
        <f t="shared" si="30"/>
        <v>0.49369999999999997</v>
      </c>
      <c r="G129" s="121">
        <f t="shared" si="30"/>
        <v>-0.35668699999999987</v>
      </c>
      <c r="H129" s="121">
        <f t="shared" si="30"/>
        <v>0.55281000000000002</v>
      </c>
    </row>
    <row r="130" spans="3:8" x14ac:dyDescent="0.2">
      <c r="C130">
        <v>150</v>
      </c>
      <c r="D130" s="121">
        <f t="shared" si="30"/>
        <v>0.14415733333333325</v>
      </c>
      <c r="E130" s="121">
        <f t="shared" si="30"/>
        <v>0.55166666666666675</v>
      </c>
      <c r="F130" s="121">
        <f t="shared" si="30"/>
        <v>0.55846666666666667</v>
      </c>
      <c r="G130" s="121">
        <f t="shared" si="30"/>
        <v>2.4208666666666736E-2</v>
      </c>
      <c r="H130" s="121">
        <f t="shared" si="30"/>
        <v>0.62153999999999998</v>
      </c>
    </row>
    <row r="131" spans="3:8" x14ac:dyDescent="0.2">
      <c r="C131">
        <v>200</v>
      </c>
      <c r="D131" s="121">
        <f t="shared" si="30"/>
        <v>0.3216179999999999</v>
      </c>
      <c r="E131" s="121">
        <f t="shared" si="30"/>
        <v>0.58550000000000002</v>
      </c>
      <c r="F131" s="121">
        <f t="shared" si="30"/>
        <v>0.59084999999999999</v>
      </c>
      <c r="G131" s="121">
        <f t="shared" si="30"/>
        <v>0.21465650000000011</v>
      </c>
      <c r="H131" s="121">
        <f t="shared" si="30"/>
        <v>0.65590500000000007</v>
      </c>
    </row>
    <row r="132" spans="3:8" x14ac:dyDescent="0.2">
      <c r="C132">
        <v>250</v>
      </c>
      <c r="D132" s="121">
        <f t="shared" si="30"/>
        <v>0.42809439999999999</v>
      </c>
      <c r="E132" s="121">
        <f t="shared" si="30"/>
        <v>0.60580000000000012</v>
      </c>
      <c r="F132" s="121">
        <f t="shared" si="30"/>
        <v>0.61027999999999993</v>
      </c>
      <c r="G132" s="121">
        <f t="shared" si="30"/>
        <v>0.32892520000000003</v>
      </c>
      <c r="H132" s="121">
        <f t="shared" si="30"/>
        <v>0.67652400000000001</v>
      </c>
    </row>
    <row r="133" spans="3:8" x14ac:dyDescent="0.2">
      <c r="C133">
        <v>300</v>
      </c>
      <c r="D133" s="121">
        <f t="shared" si="30"/>
        <v>0.49907866666666661</v>
      </c>
      <c r="E133" s="121">
        <f t="shared" si="30"/>
        <v>0.61933333333333351</v>
      </c>
      <c r="F133" s="121">
        <f t="shared" si="30"/>
        <v>0.62323333333333319</v>
      </c>
      <c r="G133" s="121">
        <f t="shared" si="30"/>
        <v>0.40510433333333346</v>
      </c>
      <c r="H133" s="121">
        <f t="shared" si="30"/>
        <v>0.69026999999999994</v>
      </c>
    </row>
    <row r="134" spans="3:8" x14ac:dyDescent="0.2">
      <c r="C134">
        <v>350</v>
      </c>
      <c r="D134" s="121">
        <f t="shared" si="30"/>
        <v>0.54978171428571421</v>
      </c>
      <c r="E134" s="121">
        <f t="shared" si="30"/>
        <v>0.629</v>
      </c>
      <c r="F134" s="121">
        <f t="shared" si="30"/>
        <v>0.63248571428571421</v>
      </c>
      <c r="G134" s="121">
        <f t="shared" si="30"/>
        <v>0.45951800000000015</v>
      </c>
      <c r="H134" s="121">
        <f t="shared" si="30"/>
        <v>0.70008857142857139</v>
      </c>
    </row>
    <row r="135" spans="3:8" x14ac:dyDescent="0.2">
      <c r="C135">
        <v>400</v>
      </c>
      <c r="D135" s="121">
        <f t="shared" si="30"/>
        <v>0.58780899999999991</v>
      </c>
      <c r="E135" s="121">
        <f t="shared" si="30"/>
        <v>0.63625000000000009</v>
      </c>
      <c r="F135" s="121">
        <f t="shared" si="30"/>
        <v>0.63942500000000002</v>
      </c>
      <c r="G135" s="121">
        <f t="shared" si="30"/>
        <v>0.50032825000000014</v>
      </c>
      <c r="H135" s="121">
        <f t="shared" si="30"/>
        <v>0.70745250000000015</v>
      </c>
    </row>
    <row r="136" spans="3:8" x14ac:dyDescent="0.2">
      <c r="C136">
        <v>450</v>
      </c>
      <c r="D136" s="121">
        <f t="shared" si="30"/>
        <v>0.61738577777777781</v>
      </c>
      <c r="E136" s="121">
        <f t="shared" si="30"/>
        <v>0.64188888888888895</v>
      </c>
      <c r="F136" s="121">
        <f t="shared" si="30"/>
        <v>0.64482222222222219</v>
      </c>
      <c r="G136" s="121">
        <f t="shared" si="30"/>
        <v>0.53206955555555557</v>
      </c>
      <c r="H136" s="121">
        <f t="shared" si="30"/>
        <v>0.71317999999999993</v>
      </c>
    </row>
    <row r="137" spans="3:8" x14ac:dyDescent="0.2">
      <c r="C137">
        <v>500</v>
      </c>
      <c r="D137" s="121">
        <f t="shared" si="30"/>
        <v>0.64104719999999993</v>
      </c>
      <c r="E137" s="121">
        <f t="shared" si="30"/>
        <v>0.64639999999999997</v>
      </c>
      <c r="F137" s="121">
        <f t="shared" si="30"/>
        <v>0.64913999999999994</v>
      </c>
      <c r="G137" s="121">
        <f t="shared" si="30"/>
        <v>0.55746260000000003</v>
      </c>
      <c r="H137" s="121">
        <f t="shared" si="30"/>
        <v>0.71776200000000001</v>
      </c>
    </row>
    <row r="138" spans="3:8" x14ac:dyDescent="0.2">
      <c r="C138">
        <v>550</v>
      </c>
      <c r="D138" s="121">
        <f t="shared" si="30"/>
        <v>0.66040654545454536</v>
      </c>
      <c r="E138" s="121">
        <f t="shared" si="30"/>
        <v>0.65009090909090916</v>
      </c>
      <c r="F138" s="121">
        <f t="shared" si="30"/>
        <v>0.65267272727272718</v>
      </c>
      <c r="G138" s="121">
        <f t="shared" si="30"/>
        <v>0.5782387272727274</v>
      </c>
      <c r="H138" s="121">
        <f t="shared" si="30"/>
        <v>0.72151090909090898</v>
      </c>
    </row>
    <row r="139" spans="3:8" x14ac:dyDescent="0.2">
      <c r="C139">
        <v>600</v>
      </c>
      <c r="D139" s="121">
        <f t="shared" si="30"/>
        <v>0.67653933333333327</v>
      </c>
      <c r="E139" s="121">
        <f t="shared" si="30"/>
        <v>0.65316666666666667</v>
      </c>
      <c r="F139" s="121">
        <f t="shared" si="30"/>
        <v>0.65561666666666663</v>
      </c>
      <c r="G139" s="121">
        <f t="shared" si="30"/>
        <v>0.59555216666666677</v>
      </c>
      <c r="H139" s="121">
        <f t="shared" si="30"/>
        <v>0.72463500000000003</v>
      </c>
    </row>
    <row r="140" spans="3:8" x14ac:dyDescent="0.2">
      <c r="C140">
        <v>650</v>
      </c>
      <c r="D140" s="121">
        <f t="shared" si="30"/>
        <v>0.6901901538461539</v>
      </c>
      <c r="E140" s="121">
        <f t="shared" si="30"/>
        <v>0.65576923076923077</v>
      </c>
      <c r="F140" s="121">
        <f t="shared" si="30"/>
        <v>0.65810769230769228</v>
      </c>
      <c r="G140" s="121">
        <f t="shared" si="30"/>
        <v>0.61020200000000013</v>
      </c>
      <c r="H140" s="121">
        <f t="shared" si="30"/>
        <v>0.72727846153846165</v>
      </c>
    </row>
    <row r="141" spans="3:8" x14ac:dyDescent="0.2">
      <c r="C141">
        <v>700</v>
      </c>
      <c r="D141" s="121">
        <f t="shared" si="30"/>
        <v>0.70189085714285704</v>
      </c>
      <c r="E141" s="121">
        <f t="shared" si="30"/>
        <v>0.65800000000000003</v>
      </c>
      <c r="F141" s="121">
        <f t="shared" si="30"/>
        <v>0.66024285714285713</v>
      </c>
      <c r="G141" s="121">
        <f t="shared" si="30"/>
        <v>0.62275900000000006</v>
      </c>
      <c r="H141" s="121">
        <f t="shared" si="30"/>
        <v>0.72954428571428565</v>
      </c>
    </row>
    <row r="142" spans="3:8" x14ac:dyDescent="0.2">
      <c r="C142">
        <v>750</v>
      </c>
      <c r="D142" s="121">
        <f t="shared" si="30"/>
        <v>0.71203146666666661</v>
      </c>
      <c r="E142" s="121">
        <f t="shared" si="30"/>
        <v>0.65993333333333337</v>
      </c>
      <c r="F142" s="121">
        <f t="shared" si="30"/>
        <v>0.66209333333333331</v>
      </c>
      <c r="G142" s="121">
        <f t="shared" si="30"/>
        <v>0.6336417333333334</v>
      </c>
      <c r="H142" s="121">
        <f t="shared" si="30"/>
        <v>0.73150800000000016</v>
      </c>
    </row>
    <row r="143" spans="3:8" x14ac:dyDescent="0.2">
      <c r="C143">
        <v>800</v>
      </c>
      <c r="D143" s="121">
        <f t="shared" si="30"/>
        <v>0.72090449999999995</v>
      </c>
      <c r="E143" s="121">
        <f t="shared" si="30"/>
        <v>0.66162499999999991</v>
      </c>
      <c r="F143" s="121">
        <f t="shared" si="30"/>
        <v>0.66371249999999993</v>
      </c>
      <c r="G143" s="121">
        <f t="shared" si="30"/>
        <v>0.64316412500000009</v>
      </c>
      <c r="H143" s="121">
        <f t="shared" si="30"/>
        <v>0.73322625000000019</v>
      </c>
    </row>
    <row r="144" spans="3:8" x14ac:dyDescent="0.2">
      <c r="C144">
        <v>850</v>
      </c>
      <c r="D144" s="121">
        <f t="shared" si="30"/>
        <v>0.72873364705882349</v>
      </c>
      <c r="E144" s="121">
        <f t="shared" si="30"/>
        <v>0.66311764705882348</v>
      </c>
      <c r="F144" s="121">
        <f t="shared" si="30"/>
        <v>0.66514117647058812</v>
      </c>
      <c r="G144" s="121">
        <f t="shared" si="30"/>
        <v>0.65156623529411772</v>
      </c>
      <c r="H144" s="121">
        <f t="shared" si="30"/>
        <v>0.7347423529411764</v>
      </c>
    </row>
    <row r="145" spans="3:8" x14ac:dyDescent="0.2">
      <c r="C145">
        <v>900</v>
      </c>
      <c r="D145" s="121">
        <f t="shared" si="30"/>
        <v>0.73569288888888895</v>
      </c>
      <c r="E145" s="121">
        <f t="shared" si="30"/>
        <v>0.66444444444444439</v>
      </c>
      <c r="F145" s="121">
        <f t="shared" si="30"/>
        <v>0.66641111111111095</v>
      </c>
      <c r="G145" s="121">
        <f t="shared" si="30"/>
        <v>0.65903477777777775</v>
      </c>
      <c r="H145" s="121">
        <f t="shared" si="30"/>
        <v>0.73609000000000002</v>
      </c>
    </row>
    <row r="146" spans="3:8" x14ac:dyDescent="0.2">
      <c r="C146">
        <v>950</v>
      </c>
      <c r="D146" s="121">
        <f t="shared" si="30"/>
        <v>0.74191957894736837</v>
      </c>
      <c r="E146" s="121">
        <f t="shared" si="30"/>
        <v>0.66563157894736846</v>
      </c>
      <c r="F146" s="121">
        <f t="shared" si="30"/>
        <v>0.66754736842105244</v>
      </c>
      <c r="G146" s="121">
        <f t="shared" si="30"/>
        <v>0.66571715789473696</v>
      </c>
      <c r="H146" s="121">
        <f t="shared" si="30"/>
        <v>0.73729578947368424</v>
      </c>
    </row>
    <row r="147" spans="3:8" x14ac:dyDescent="0.2">
      <c r="C147">
        <v>1000</v>
      </c>
      <c r="D147" s="121">
        <f t="shared" si="30"/>
        <v>0.74752359999999995</v>
      </c>
      <c r="E147" s="121">
        <f t="shared" si="30"/>
        <v>0.66669999999999996</v>
      </c>
      <c r="F147" s="121">
        <f t="shared" si="30"/>
        <v>0.66856999999999989</v>
      </c>
      <c r="G147" s="121">
        <f t="shared" si="30"/>
        <v>0.67173130000000003</v>
      </c>
      <c r="H147" s="121">
        <f t="shared" si="30"/>
        <v>0.73838100000000007</v>
      </c>
    </row>
    <row r="148" spans="3:8" x14ac:dyDescent="0.2">
      <c r="C148">
        <v>1050</v>
      </c>
      <c r="D148" s="121">
        <f t="shared" si="30"/>
        <v>0.75259390476190469</v>
      </c>
      <c r="E148" s="121">
        <f t="shared" si="30"/>
        <v>0.66766666666666663</v>
      </c>
      <c r="F148" s="121">
        <f t="shared" si="30"/>
        <v>0.66949523809523803</v>
      </c>
      <c r="G148" s="121">
        <f t="shared" si="30"/>
        <v>0.67717266666666676</v>
      </c>
      <c r="H148" s="121">
        <f t="shared" si="30"/>
        <v>0.73936285714285732</v>
      </c>
    </row>
    <row r="151" spans="3:8" x14ac:dyDescent="0.2">
      <c r="D151" s="124" t="str">
        <f>+D126</f>
        <v>C20 AR</v>
      </c>
      <c r="E151" s="124" t="str">
        <f t="shared" ref="E151:H151" si="31">+E126</f>
        <v>Aqua Plasma</v>
      </c>
      <c r="F151" s="124" t="str">
        <f t="shared" si="31"/>
        <v>XL 19/49 P</v>
      </c>
      <c r="G151" s="124" t="str">
        <f t="shared" si="31"/>
        <v>FK D1</v>
      </c>
      <c r="H151" s="124" t="str">
        <f t="shared" si="31"/>
        <v>MT-Power v3.11</v>
      </c>
    </row>
    <row r="152" spans="3:8" x14ac:dyDescent="0.2">
      <c r="C152" s="2">
        <v>10</v>
      </c>
      <c r="D152">
        <f>+D127*$C152</f>
        <v>-97.936399999999992</v>
      </c>
      <c r="E152">
        <f t="shared" ref="E152:H152" si="32">+E127*$C152</f>
        <v>-13.43</v>
      </c>
      <c r="F152">
        <f t="shared" si="32"/>
        <v>-12.55</v>
      </c>
      <c r="G152">
        <f t="shared" si="32"/>
        <v>-106.4087</v>
      </c>
      <c r="H152">
        <f t="shared" si="32"/>
        <v>-13.029</v>
      </c>
    </row>
    <row r="153" spans="3:8" x14ac:dyDescent="0.2">
      <c r="C153">
        <v>50</v>
      </c>
      <c r="D153">
        <f t="shared" ref="D153:H173" si="33">+D128*$C153</f>
        <v>-63.77640000000001</v>
      </c>
      <c r="E153">
        <f t="shared" si="33"/>
        <v>14.05</v>
      </c>
      <c r="F153">
        <f t="shared" si="33"/>
        <v>14.97</v>
      </c>
      <c r="G153">
        <f t="shared" si="33"/>
        <v>-74.968699999999998</v>
      </c>
      <c r="H153">
        <f t="shared" si="33"/>
        <v>17.331000000000003</v>
      </c>
    </row>
    <row r="154" spans="3:8" x14ac:dyDescent="0.2">
      <c r="C154">
        <v>100</v>
      </c>
      <c r="D154">
        <f t="shared" si="33"/>
        <v>-21.076400000000014</v>
      </c>
      <c r="E154">
        <f t="shared" si="33"/>
        <v>48.4</v>
      </c>
      <c r="F154">
        <f t="shared" si="33"/>
        <v>49.37</v>
      </c>
      <c r="G154">
        <f t="shared" si="33"/>
        <v>-35.668699999999987</v>
      </c>
      <c r="H154">
        <f t="shared" si="33"/>
        <v>55.281000000000006</v>
      </c>
    </row>
    <row r="155" spans="3:8" x14ac:dyDescent="0.2">
      <c r="C155">
        <v>150</v>
      </c>
      <c r="D155">
        <f t="shared" si="33"/>
        <v>21.623599999999989</v>
      </c>
      <c r="E155">
        <f t="shared" si="33"/>
        <v>82.750000000000014</v>
      </c>
      <c r="F155">
        <f t="shared" si="33"/>
        <v>83.77</v>
      </c>
      <c r="G155">
        <f t="shared" si="33"/>
        <v>3.6313000000000102</v>
      </c>
      <c r="H155">
        <f t="shared" si="33"/>
        <v>93.230999999999995</v>
      </c>
    </row>
    <row r="156" spans="3:8" x14ac:dyDescent="0.2">
      <c r="C156">
        <v>200</v>
      </c>
      <c r="D156">
        <f t="shared" si="33"/>
        <v>64.323599999999985</v>
      </c>
      <c r="E156">
        <f t="shared" si="33"/>
        <v>117.10000000000001</v>
      </c>
      <c r="F156">
        <f t="shared" si="33"/>
        <v>118.17</v>
      </c>
      <c r="G156">
        <f t="shared" si="33"/>
        <v>42.931300000000022</v>
      </c>
      <c r="H156">
        <f t="shared" si="33"/>
        <v>131.18100000000001</v>
      </c>
    </row>
    <row r="157" spans="3:8" x14ac:dyDescent="0.2">
      <c r="C157">
        <v>250</v>
      </c>
      <c r="D157">
        <f t="shared" si="33"/>
        <v>107.0236</v>
      </c>
      <c r="E157">
        <f t="shared" si="33"/>
        <v>151.45000000000002</v>
      </c>
      <c r="F157">
        <f t="shared" si="33"/>
        <v>152.57</v>
      </c>
      <c r="G157">
        <f t="shared" si="33"/>
        <v>82.231300000000005</v>
      </c>
      <c r="H157">
        <f t="shared" si="33"/>
        <v>169.131</v>
      </c>
    </row>
    <row r="158" spans="3:8" x14ac:dyDescent="0.2">
      <c r="C158">
        <v>300</v>
      </c>
      <c r="D158">
        <f t="shared" si="33"/>
        <v>149.72359999999998</v>
      </c>
      <c r="E158">
        <f t="shared" si="33"/>
        <v>185.80000000000007</v>
      </c>
      <c r="F158">
        <f t="shared" si="33"/>
        <v>186.96999999999997</v>
      </c>
      <c r="G158">
        <f t="shared" si="33"/>
        <v>121.53130000000003</v>
      </c>
      <c r="H158">
        <f t="shared" si="33"/>
        <v>207.08099999999999</v>
      </c>
    </row>
    <row r="159" spans="3:8" x14ac:dyDescent="0.2">
      <c r="C159">
        <v>350</v>
      </c>
      <c r="D159">
        <f t="shared" si="33"/>
        <v>192.42359999999996</v>
      </c>
      <c r="E159">
        <f t="shared" si="33"/>
        <v>220.15</v>
      </c>
      <c r="F159">
        <f t="shared" si="33"/>
        <v>221.36999999999998</v>
      </c>
      <c r="G159">
        <f t="shared" si="33"/>
        <v>160.83130000000006</v>
      </c>
      <c r="H159">
        <f t="shared" si="33"/>
        <v>245.03099999999998</v>
      </c>
    </row>
    <row r="160" spans="3:8" x14ac:dyDescent="0.2">
      <c r="C160">
        <v>400</v>
      </c>
      <c r="D160">
        <f t="shared" si="33"/>
        <v>235.12359999999995</v>
      </c>
      <c r="E160">
        <f t="shared" si="33"/>
        <v>254.50000000000003</v>
      </c>
      <c r="F160">
        <f t="shared" si="33"/>
        <v>255.77</v>
      </c>
      <c r="G160">
        <f t="shared" si="33"/>
        <v>200.13130000000007</v>
      </c>
      <c r="H160">
        <f t="shared" si="33"/>
        <v>282.98100000000005</v>
      </c>
    </row>
    <row r="161" spans="3:8" x14ac:dyDescent="0.2">
      <c r="C161">
        <v>450</v>
      </c>
      <c r="D161">
        <f t="shared" si="33"/>
        <v>277.8236</v>
      </c>
      <c r="E161">
        <f t="shared" si="33"/>
        <v>288.85000000000002</v>
      </c>
      <c r="F161">
        <f t="shared" si="33"/>
        <v>290.16999999999996</v>
      </c>
      <c r="G161">
        <f t="shared" si="33"/>
        <v>239.43130000000002</v>
      </c>
      <c r="H161">
        <f t="shared" si="33"/>
        <v>320.93099999999998</v>
      </c>
    </row>
    <row r="162" spans="3:8" x14ac:dyDescent="0.2">
      <c r="C162">
        <v>500</v>
      </c>
      <c r="D162">
        <f t="shared" si="33"/>
        <v>320.52359999999999</v>
      </c>
      <c r="E162">
        <f t="shared" si="33"/>
        <v>323.2</v>
      </c>
      <c r="F162">
        <f t="shared" si="33"/>
        <v>324.57</v>
      </c>
      <c r="G162">
        <f t="shared" si="33"/>
        <v>278.73130000000003</v>
      </c>
      <c r="H162">
        <f t="shared" si="33"/>
        <v>358.88100000000003</v>
      </c>
    </row>
    <row r="163" spans="3:8" x14ac:dyDescent="0.2">
      <c r="C163">
        <v>550</v>
      </c>
      <c r="D163">
        <f t="shared" si="33"/>
        <v>363.22359999999992</v>
      </c>
      <c r="E163">
        <f t="shared" si="33"/>
        <v>357.55000000000007</v>
      </c>
      <c r="F163">
        <f t="shared" si="33"/>
        <v>358.96999999999997</v>
      </c>
      <c r="G163">
        <f t="shared" si="33"/>
        <v>318.03130000000004</v>
      </c>
      <c r="H163">
        <f t="shared" si="33"/>
        <v>396.83099999999996</v>
      </c>
    </row>
    <row r="164" spans="3:8" x14ac:dyDescent="0.2">
      <c r="C164">
        <v>600</v>
      </c>
      <c r="D164">
        <f t="shared" si="33"/>
        <v>405.92359999999996</v>
      </c>
      <c r="E164">
        <f t="shared" si="33"/>
        <v>391.9</v>
      </c>
      <c r="F164">
        <f t="shared" si="33"/>
        <v>393.36999999999995</v>
      </c>
      <c r="G164">
        <f t="shared" si="33"/>
        <v>357.33130000000006</v>
      </c>
      <c r="H164">
        <f t="shared" si="33"/>
        <v>434.78100000000001</v>
      </c>
    </row>
    <row r="165" spans="3:8" x14ac:dyDescent="0.2">
      <c r="C165">
        <v>650</v>
      </c>
      <c r="D165">
        <f t="shared" si="33"/>
        <v>448.62360000000001</v>
      </c>
      <c r="E165">
        <f t="shared" si="33"/>
        <v>426.25</v>
      </c>
      <c r="F165">
        <f t="shared" si="33"/>
        <v>427.77</v>
      </c>
      <c r="G165">
        <f t="shared" si="33"/>
        <v>396.63130000000007</v>
      </c>
      <c r="H165">
        <f t="shared" si="33"/>
        <v>472.73100000000005</v>
      </c>
    </row>
    <row r="166" spans="3:8" x14ac:dyDescent="0.2">
      <c r="C166">
        <v>700</v>
      </c>
      <c r="D166">
        <f t="shared" si="33"/>
        <v>491.32359999999994</v>
      </c>
      <c r="E166">
        <f t="shared" si="33"/>
        <v>460.6</v>
      </c>
      <c r="F166">
        <f t="shared" si="33"/>
        <v>462.17</v>
      </c>
      <c r="G166">
        <f t="shared" si="33"/>
        <v>435.93130000000002</v>
      </c>
      <c r="H166">
        <f t="shared" si="33"/>
        <v>510.68099999999993</v>
      </c>
    </row>
    <row r="167" spans="3:8" x14ac:dyDescent="0.2">
      <c r="C167">
        <v>750</v>
      </c>
      <c r="D167">
        <f t="shared" si="33"/>
        <v>534.02359999999999</v>
      </c>
      <c r="E167">
        <f t="shared" si="33"/>
        <v>494.95000000000005</v>
      </c>
      <c r="F167">
        <f t="shared" si="33"/>
        <v>496.57</v>
      </c>
      <c r="G167">
        <f t="shared" si="33"/>
        <v>475.23130000000003</v>
      </c>
      <c r="H167">
        <f t="shared" si="33"/>
        <v>548.63100000000009</v>
      </c>
    </row>
    <row r="168" spans="3:8" x14ac:dyDescent="0.2">
      <c r="C168">
        <v>800</v>
      </c>
      <c r="D168">
        <f t="shared" si="33"/>
        <v>576.72359999999992</v>
      </c>
      <c r="E168">
        <f t="shared" si="33"/>
        <v>529.29999999999995</v>
      </c>
      <c r="F168">
        <f t="shared" si="33"/>
        <v>530.96999999999991</v>
      </c>
      <c r="G168">
        <f t="shared" si="33"/>
        <v>514.5313000000001</v>
      </c>
      <c r="H168">
        <f t="shared" si="33"/>
        <v>586.58100000000013</v>
      </c>
    </row>
    <row r="169" spans="3:8" x14ac:dyDescent="0.2">
      <c r="C169">
        <v>850</v>
      </c>
      <c r="D169">
        <f t="shared" si="33"/>
        <v>619.42359999999996</v>
      </c>
      <c r="E169">
        <f t="shared" si="33"/>
        <v>563.65</v>
      </c>
      <c r="F169">
        <f t="shared" si="33"/>
        <v>565.36999999999989</v>
      </c>
      <c r="G169">
        <f t="shared" si="33"/>
        <v>553.83130000000006</v>
      </c>
      <c r="H169">
        <f t="shared" si="33"/>
        <v>624.53099999999995</v>
      </c>
    </row>
    <row r="170" spans="3:8" x14ac:dyDescent="0.2">
      <c r="C170">
        <v>900</v>
      </c>
      <c r="D170">
        <f t="shared" si="33"/>
        <v>662.12360000000001</v>
      </c>
      <c r="E170">
        <f t="shared" si="33"/>
        <v>598</v>
      </c>
      <c r="F170">
        <f t="shared" si="33"/>
        <v>599.76999999999987</v>
      </c>
      <c r="G170">
        <f t="shared" si="33"/>
        <v>593.13130000000001</v>
      </c>
      <c r="H170">
        <f t="shared" si="33"/>
        <v>662.48099999999999</v>
      </c>
    </row>
    <row r="171" spans="3:8" x14ac:dyDescent="0.2">
      <c r="C171">
        <v>950</v>
      </c>
      <c r="D171">
        <f t="shared" si="33"/>
        <v>704.82359999999994</v>
      </c>
      <c r="E171">
        <f t="shared" si="33"/>
        <v>632.35</v>
      </c>
      <c r="F171">
        <f t="shared" si="33"/>
        <v>634.16999999999985</v>
      </c>
      <c r="G171">
        <f t="shared" si="33"/>
        <v>632.43130000000008</v>
      </c>
      <c r="H171">
        <f t="shared" si="33"/>
        <v>700.43100000000004</v>
      </c>
    </row>
    <row r="172" spans="3:8" x14ac:dyDescent="0.2">
      <c r="C172">
        <v>1000</v>
      </c>
      <c r="D172">
        <f t="shared" si="33"/>
        <v>747.52359999999999</v>
      </c>
      <c r="E172">
        <f t="shared" si="33"/>
        <v>666.69999999999993</v>
      </c>
      <c r="F172">
        <f t="shared" si="33"/>
        <v>668.56999999999994</v>
      </c>
      <c r="G172">
        <f t="shared" si="33"/>
        <v>671.73130000000003</v>
      </c>
      <c r="H172">
        <f t="shared" si="33"/>
        <v>738.38100000000009</v>
      </c>
    </row>
    <row r="173" spans="3:8" x14ac:dyDescent="0.2">
      <c r="C173">
        <v>1050</v>
      </c>
      <c r="D173">
        <f t="shared" si="33"/>
        <v>790.22359999999992</v>
      </c>
      <c r="E173">
        <f t="shared" si="33"/>
        <v>701.05</v>
      </c>
      <c r="F173">
        <f t="shared" si="33"/>
        <v>702.96999999999991</v>
      </c>
      <c r="G173">
        <f t="shared" si="33"/>
        <v>711.0313000000001</v>
      </c>
      <c r="H173">
        <f t="shared" si="33"/>
        <v>776.33100000000013</v>
      </c>
    </row>
  </sheetData>
  <sheetProtection selectLockedCells="1"/>
  <protectedRanges>
    <protectedRange sqref="G11:G12 D103 D105 D107:D110" name="Range1"/>
  </protectedRanges>
  <mergeCells count="21">
    <mergeCell ref="B100:C100"/>
    <mergeCell ref="B2:H2"/>
    <mergeCell ref="G3:H3"/>
    <mergeCell ref="B4:F4"/>
    <mergeCell ref="B5:F5"/>
    <mergeCell ref="B6:F6"/>
    <mergeCell ref="B11:F11"/>
    <mergeCell ref="B12:F12"/>
    <mergeCell ref="B13:F13"/>
    <mergeCell ref="D90:H90"/>
    <mergeCell ref="D93:H93"/>
    <mergeCell ref="B99:C99"/>
    <mergeCell ref="D79:H79"/>
    <mergeCell ref="B93:C93"/>
    <mergeCell ref="B90:C90"/>
    <mergeCell ref="B106:C106"/>
    <mergeCell ref="B101:C101"/>
    <mergeCell ref="B102:C102"/>
    <mergeCell ref="B103:C103"/>
    <mergeCell ref="B104:C104"/>
    <mergeCell ref="B105:C105"/>
  </mergeCells>
  <conditionalFormatting sqref="D83:H83 D85:H98">
    <cfRule type="cellIs" dxfId="17" priority="22" stopIfTrue="1" operator="lessThanOrEqual">
      <formula>0</formula>
    </cfRule>
  </conditionalFormatting>
  <conditionalFormatting sqref="D83:H83">
    <cfRule type="cellIs" dxfId="16" priority="21" stopIfTrue="1" operator="lessThanOrEqual">
      <formula>0</formula>
    </cfRule>
  </conditionalFormatting>
  <conditionalFormatting sqref="D92:H92">
    <cfRule type="cellIs" dxfId="15" priority="19" stopIfTrue="1" operator="lessThanOrEqual">
      <formula>0</formula>
    </cfRule>
  </conditionalFormatting>
  <conditionalFormatting sqref="D91:H91">
    <cfRule type="cellIs" dxfId="14" priority="18" stopIfTrue="1" operator="lessThanOrEqual">
      <formula>0</formula>
    </cfRule>
  </conditionalFormatting>
  <conditionalFormatting sqref="D95:H98">
    <cfRule type="cellIs" dxfId="13" priority="17" stopIfTrue="1" operator="lessThanOrEqual">
      <formula>0</formula>
    </cfRule>
  </conditionalFormatting>
  <conditionalFormatting sqref="D94:H94">
    <cfRule type="cellIs" dxfId="12" priority="16" stopIfTrue="1" operator="lessThanOrEqual">
      <formula>0</formula>
    </cfRule>
  </conditionalFormatting>
  <conditionalFormatting sqref="D89:H89">
    <cfRule type="cellIs" dxfId="11" priority="15" stopIfTrue="1" operator="lessThanOrEqual">
      <formula>0</formula>
    </cfRule>
  </conditionalFormatting>
  <conditionalFormatting sqref="D86:H86">
    <cfRule type="cellIs" dxfId="10" priority="14" stopIfTrue="1" operator="lessThanOrEqual">
      <formula>0</formula>
    </cfRule>
  </conditionalFormatting>
  <conditionalFormatting sqref="D87:H87">
    <cfRule type="cellIs" dxfId="9" priority="12" stopIfTrue="1" operator="lessThanOrEqual">
      <formula>0</formula>
    </cfRule>
  </conditionalFormatting>
  <conditionalFormatting sqref="E80">
    <cfRule type="cellIs" dxfId="8" priority="11" stopIfTrue="1" operator="lessThanOrEqual">
      <formula>0</formula>
    </cfRule>
  </conditionalFormatting>
  <conditionalFormatting sqref="E80">
    <cfRule type="cellIs" dxfId="7" priority="10" stopIfTrue="1" operator="lessThanOrEqual">
      <formula>0</formula>
    </cfRule>
  </conditionalFormatting>
  <conditionalFormatting sqref="D80">
    <cfRule type="cellIs" dxfId="6" priority="9" stopIfTrue="1" operator="lessThanOrEqual">
      <formula>0</formula>
    </cfRule>
  </conditionalFormatting>
  <conditionalFormatting sqref="D80">
    <cfRule type="cellIs" dxfId="5" priority="8" stopIfTrue="1" operator="lessThanOrEqual">
      <formula>0</formula>
    </cfRule>
  </conditionalFormatting>
  <conditionalFormatting sqref="F80:H80">
    <cfRule type="cellIs" dxfId="4" priority="7" stopIfTrue="1" operator="lessThanOrEqual">
      <formula>0</formula>
    </cfRule>
  </conditionalFormatting>
  <conditionalFormatting sqref="F80:H80">
    <cfRule type="cellIs" dxfId="3" priority="6" stopIfTrue="1" operator="lessThanOrEqual">
      <formula>0</formula>
    </cfRule>
  </conditionalFormatting>
  <conditionalFormatting sqref="D85:H85">
    <cfRule type="cellIs" dxfId="2" priority="3" stopIfTrue="1" operator="lessThanOrEqual">
      <formula>0</formula>
    </cfRule>
  </conditionalFormatting>
  <conditionalFormatting sqref="D84:H84">
    <cfRule type="cellIs" dxfId="1" priority="2" stopIfTrue="1" operator="lessThanOrEqual">
      <formula>0</formula>
    </cfRule>
  </conditionalFormatting>
  <conditionalFormatting sqref="D84:H84">
    <cfRule type="cellIs" dxfId="0" priority="1" stopIfTrue="1" operator="lessThanOr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0" fitToHeight="2" orientation="portrait" verticalDpi="1200" r:id="rId1"/>
  <headerFooter alignWithMargins="0"/>
  <rowBreaks count="1" manualBreakCount="1">
    <brk id="40" max="16383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41"/>
  <sheetViews>
    <sheetView topLeftCell="C4" zoomScale="200" zoomScaleNormal="200" workbookViewId="0">
      <selection activeCell="E18" sqref="E18"/>
    </sheetView>
  </sheetViews>
  <sheetFormatPr baseColWidth="10" defaultRowHeight="12.75" x14ac:dyDescent="0.2"/>
  <cols>
    <col min="4" max="4" width="12.42578125" customWidth="1"/>
    <col min="5" max="5" width="14.85546875" customWidth="1"/>
    <col min="6" max="6" width="9.7109375" customWidth="1"/>
    <col min="7" max="7" width="11" customWidth="1"/>
  </cols>
  <sheetData>
    <row r="4" spans="4:7" ht="13.5" thickBot="1" x14ac:dyDescent="0.25"/>
    <row r="5" spans="4:7" x14ac:dyDescent="0.2">
      <c r="D5" s="114" t="s">
        <v>155</v>
      </c>
      <c r="E5" s="115" t="s">
        <v>154</v>
      </c>
      <c r="F5" s="116" t="s">
        <v>157</v>
      </c>
      <c r="G5" s="117" t="s">
        <v>153</v>
      </c>
    </row>
    <row r="6" spans="4:7" ht="13.5" thickBot="1" x14ac:dyDescent="0.25">
      <c r="D6" s="118" t="s">
        <v>27</v>
      </c>
      <c r="E6" s="119" t="s">
        <v>156</v>
      </c>
      <c r="F6" s="119" t="s">
        <v>158</v>
      </c>
      <c r="G6" s="120" t="s">
        <v>152</v>
      </c>
    </row>
    <row r="7" spans="4:7" x14ac:dyDescent="0.2">
      <c r="D7" s="102" t="s">
        <v>74</v>
      </c>
      <c r="E7" s="108">
        <v>1460</v>
      </c>
      <c r="F7" s="111">
        <f t="shared" ref="F7:F16" si="0">+E7/E$18</f>
        <v>0.32229580573951433</v>
      </c>
      <c r="G7" s="105">
        <v>4.8000000000000001E-2</v>
      </c>
    </row>
    <row r="8" spans="4:7" x14ac:dyDescent="0.2">
      <c r="D8" s="103" t="s">
        <v>75</v>
      </c>
      <c r="E8" s="109">
        <v>720</v>
      </c>
      <c r="F8" s="112">
        <f t="shared" si="0"/>
        <v>0.15894039735099338</v>
      </c>
      <c r="G8" s="106">
        <v>8.6999999999999994E-2</v>
      </c>
    </row>
    <row r="9" spans="4:7" x14ac:dyDescent="0.2">
      <c r="D9" s="103" t="s">
        <v>76</v>
      </c>
      <c r="E9" s="109">
        <v>520</v>
      </c>
      <c r="F9" s="112">
        <f t="shared" si="0"/>
        <v>0.11479028697571744</v>
      </c>
      <c r="G9" s="106">
        <v>0.10299999999999999</v>
      </c>
    </row>
    <row r="10" spans="4:7" x14ac:dyDescent="0.2">
      <c r="D10" s="103" t="s">
        <v>77</v>
      </c>
      <c r="E10" s="109">
        <v>420</v>
      </c>
      <c r="F10" s="112">
        <f t="shared" si="0"/>
        <v>9.2715231788079472E-2</v>
      </c>
      <c r="G10" s="106">
        <v>0.125</v>
      </c>
    </row>
    <row r="11" spans="4:7" x14ac:dyDescent="0.2">
      <c r="D11" s="103" t="s">
        <v>78</v>
      </c>
      <c r="E11" s="109">
        <v>380</v>
      </c>
      <c r="F11" s="112">
        <f t="shared" si="0"/>
        <v>8.3885209713024281E-2</v>
      </c>
      <c r="G11" s="106">
        <v>0.122</v>
      </c>
    </row>
    <row r="12" spans="4:7" x14ac:dyDescent="0.2">
      <c r="D12" s="103" t="s">
        <v>79</v>
      </c>
      <c r="E12" s="109">
        <v>380</v>
      </c>
      <c r="F12" s="112">
        <f t="shared" si="0"/>
        <v>8.3885209713024281E-2</v>
      </c>
      <c r="G12" s="106">
        <v>0.14699999999999999</v>
      </c>
    </row>
    <row r="13" spans="4:7" x14ac:dyDescent="0.2">
      <c r="D13" s="103" t="s">
        <v>80</v>
      </c>
      <c r="E13" s="109">
        <v>220</v>
      </c>
      <c r="F13" s="112">
        <f t="shared" si="0"/>
        <v>4.856512141280353E-2</v>
      </c>
      <c r="G13" s="106">
        <v>0.123</v>
      </c>
    </row>
    <row r="14" spans="4:7" x14ac:dyDescent="0.2">
      <c r="D14" s="103" t="s">
        <v>81</v>
      </c>
      <c r="E14" s="109">
        <v>210</v>
      </c>
      <c r="F14" s="112">
        <f t="shared" si="0"/>
        <v>4.6357615894039736E-2</v>
      </c>
      <c r="G14" s="106">
        <v>0.13400000000000001</v>
      </c>
    </row>
    <row r="15" spans="4:7" x14ac:dyDescent="0.2">
      <c r="D15" s="103" t="s">
        <v>82</v>
      </c>
      <c r="E15" s="109">
        <v>180</v>
      </c>
      <c r="F15" s="112">
        <f t="shared" si="0"/>
        <v>3.9735099337748346E-2</v>
      </c>
      <c r="G15" s="106">
        <v>8.5999999999999993E-2</v>
      </c>
    </row>
    <row r="16" spans="4:7" ht="13.5" thickBot="1" x14ac:dyDescent="0.25">
      <c r="D16" s="104" t="s">
        <v>83</v>
      </c>
      <c r="E16" s="110">
        <v>40</v>
      </c>
      <c r="F16" s="113">
        <f t="shared" si="0"/>
        <v>8.8300220750551876E-3</v>
      </c>
      <c r="G16" s="107">
        <v>2.7E-2</v>
      </c>
    </row>
    <row r="18" spans="2:11" x14ac:dyDescent="0.2">
      <c r="E18" s="122">
        <f>SUM(E7:E16)</f>
        <v>4530</v>
      </c>
      <c r="F18" s="126">
        <f>SUM(F7:F17)</f>
        <v>1</v>
      </c>
      <c r="G18" s="126">
        <f>SUM(G7:G16)</f>
        <v>1.002</v>
      </c>
    </row>
    <row r="25" spans="2:11" x14ac:dyDescent="0.2">
      <c r="B25" s="49"/>
      <c r="C25" s="49"/>
      <c r="D25" s="49" t="s">
        <v>73</v>
      </c>
      <c r="E25" s="49"/>
      <c r="F25" s="49" t="s">
        <v>84</v>
      </c>
      <c r="G25" s="49"/>
      <c r="H25" s="49"/>
      <c r="I25" s="49"/>
      <c r="J25" s="49"/>
      <c r="K25" s="49"/>
    </row>
    <row r="26" spans="2:11" x14ac:dyDescent="0.2">
      <c r="B26" s="49"/>
      <c r="C26" s="49"/>
      <c r="D26" s="49"/>
      <c r="E26" s="51" t="s">
        <v>96</v>
      </c>
      <c r="F26" s="51" t="s">
        <v>97</v>
      </c>
      <c r="G26" s="49"/>
      <c r="H26" s="49"/>
      <c r="I26" s="49"/>
      <c r="J26" s="49"/>
      <c r="K26" s="49"/>
    </row>
    <row r="27" spans="2:11" x14ac:dyDescent="0.2">
      <c r="B27" s="49"/>
      <c r="C27" s="49"/>
      <c r="D27" s="49" t="s">
        <v>74</v>
      </c>
      <c r="E27" s="49">
        <v>1460</v>
      </c>
      <c r="F27" s="69">
        <v>4.8000000000000001E-2</v>
      </c>
      <c r="G27" s="49"/>
      <c r="H27" s="49">
        <v>50</v>
      </c>
      <c r="I27" s="49">
        <f>+H27*E27</f>
        <v>73000</v>
      </c>
      <c r="J27" s="74">
        <f>+I27/I$37</f>
        <v>5.4907860097781119E-2</v>
      </c>
      <c r="K27" s="49"/>
    </row>
    <row r="28" spans="2:11" x14ac:dyDescent="0.2">
      <c r="B28" s="49"/>
      <c r="C28" s="49"/>
      <c r="D28" s="49" t="s">
        <v>75</v>
      </c>
      <c r="E28" s="49">
        <v>720</v>
      </c>
      <c r="F28" s="69">
        <v>8.6999999999999994E-2</v>
      </c>
      <c r="G28" s="49"/>
      <c r="H28" s="49">
        <v>150</v>
      </c>
      <c r="I28" s="49">
        <f t="shared" ref="I28:I36" si="1">+H28*E28</f>
        <v>108000</v>
      </c>
      <c r="J28" s="74">
        <f t="shared" ref="J28:J36" si="2">+I28/I$37</f>
        <v>8.123354644603234E-2</v>
      </c>
      <c r="K28" s="49"/>
    </row>
    <row r="29" spans="2:11" x14ac:dyDescent="0.2">
      <c r="B29" s="49"/>
      <c r="C29" s="49"/>
      <c r="D29" s="49" t="s">
        <v>76</v>
      </c>
      <c r="E29" s="49">
        <v>520</v>
      </c>
      <c r="F29" s="69">
        <v>0.10299999999999999</v>
      </c>
      <c r="G29" s="49"/>
      <c r="H29" s="49">
        <v>250</v>
      </c>
      <c r="I29" s="49">
        <f t="shared" si="1"/>
        <v>130000</v>
      </c>
      <c r="J29" s="74">
        <f t="shared" si="2"/>
        <v>9.7781120722075968E-2</v>
      </c>
      <c r="K29" s="49"/>
    </row>
    <row r="30" spans="2:11" x14ac:dyDescent="0.2">
      <c r="B30" s="49"/>
      <c r="C30" s="49"/>
      <c r="D30" s="49" t="s">
        <v>77</v>
      </c>
      <c r="E30" s="49">
        <v>420</v>
      </c>
      <c r="F30" s="69">
        <v>0.125</v>
      </c>
      <c r="G30" s="49"/>
      <c r="H30" s="49">
        <v>350</v>
      </c>
      <c r="I30" s="49">
        <f t="shared" si="1"/>
        <v>147000</v>
      </c>
      <c r="J30" s="74">
        <f t="shared" si="2"/>
        <v>0.11056788266265513</v>
      </c>
      <c r="K30" s="49"/>
    </row>
    <row r="31" spans="2:11" x14ac:dyDescent="0.2">
      <c r="B31" s="49"/>
      <c r="C31" s="49"/>
      <c r="D31" s="49" t="s">
        <v>78</v>
      </c>
      <c r="E31" s="49">
        <v>380</v>
      </c>
      <c r="F31" s="69">
        <v>0.122</v>
      </c>
      <c r="G31" s="49"/>
      <c r="H31" s="49">
        <v>450</v>
      </c>
      <c r="I31" s="49">
        <f t="shared" si="1"/>
        <v>171000</v>
      </c>
      <c r="J31" s="74">
        <f t="shared" si="2"/>
        <v>0.12861978187288453</v>
      </c>
      <c r="K31" s="49"/>
    </row>
    <row r="32" spans="2:11" x14ac:dyDescent="0.2">
      <c r="B32" s="49"/>
      <c r="C32" s="49"/>
      <c r="D32" s="49" t="s">
        <v>79</v>
      </c>
      <c r="E32" s="49">
        <v>380</v>
      </c>
      <c r="F32" s="69">
        <v>0.14699999999999999</v>
      </c>
      <c r="G32" s="49"/>
      <c r="H32" s="49">
        <v>550</v>
      </c>
      <c r="I32" s="49">
        <f t="shared" si="1"/>
        <v>209000</v>
      </c>
      <c r="J32" s="74">
        <f t="shared" si="2"/>
        <v>0.15720195562241443</v>
      </c>
      <c r="K32" s="49"/>
    </row>
    <row r="33" spans="2:11" x14ac:dyDescent="0.2">
      <c r="B33" s="49"/>
      <c r="C33" s="49"/>
      <c r="D33" s="49" t="s">
        <v>80</v>
      </c>
      <c r="E33" s="49">
        <v>220</v>
      </c>
      <c r="F33" s="69">
        <v>0.123</v>
      </c>
      <c r="G33" s="49"/>
      <c r="H33" s="49">
        <v>650</v>
      </c>
      <c r="I33" s="49">
        <f t="shared" si="1"/>
        <v>143000</v>
      </c>
      <c r="J33" s="74">
        <f t="shared" si="2"/>
        <v>0.10755923279428356</v>
      </c>
      <c r="K33" s="49"/>
    </row>
    <row r="34" spans="2:11" x14ac:dyDescent="0.2">
      <c r="B34" s="49"/>
      <c r="C34" s="49"/>
      <c r="D34" s="49" t="s">
        <v>81</v>
      </c>
      <c r="E34" s="49">
        <v>210</v>
      </c>
      <c r="F34" s="69">
        <v>0.13400000000000001</v>
      </c>
      <c r="G34" s="69"/>
      <c r="H34" s="49">
        <v>750</v>
      </c>
      <c r="I34" s="49">
        <f t="shared" si="1"/>
        <v>157500</v>
      </c>
      <c r="J34" s="74">
        <f t="shared" si="2"/>
        <v>0.11846558856713051</v>
      </c>
      <c r="K34" s="49"/>
    </row>
    <row r="35" spans="2:11" x14ac:dyDescent="0.2">
      <c r="B35" s="49"/>
      <c r="C35" s="49"/>
      <c r="D35" s="49" t="s">
        <v>82</v>
      </c>
      <c r="E35" s="49">
        <v>180</v>
      </c>
      <c r="F35" s="69">
        <v>8.5999999999999993E-2</v>
      </c>
      <c r="G35" s="49"/>
      <c r="H35" s="49">
        <v>850</v>
      </c>
      <c r="I35" s="49">
        <f t="shared" si="1"/>
        <v>153000</v>
      </c>
      <c r="J35" s="74">
        <f t="shared" si="2"/>
        <v>0.11508085746521249</v>
      </c>
      <c r="K35" s="49"/>
    </row>
    <row r="36" spans="2:11" x14ac:dyDescent="0.2">
      <c r="B36" s="49"/>
      <c r="C36" s="49"/>
      <c r="D36" s="49" t="s">
        <v>83</v>
      </c>
      <c r="E36" s="49">
        <v>40</v>
      </c>
      <c r="F36" s="69">
        <v>2.7E-2</v>
      </c>
      <c r="G36" s="49"/>
      <c r="H36" s="49">
        <v>950</v>
      </c>
      <c r="I36" s="49">
        <f t="shared" si="1"/>
        <v>38000</v>
      </c>
      <c r="J36" s="74">
        <f t="shared" si="2"/>
        <v>2.8582173749529899E-2</v>
      </c>
      <c r="K36" s="49"/>
    </row>
    <row r="37" spans="2:11" x14ac:dyDescent="0.2">
      <c r="B37" s="49"/>
      <c r="C37" s="49"/>
      <c r="D37" s="49"/>
      <c r="E37" s="49">
        <f>SUM(E27:E36)</f>
        <v>4530</v>
      </c>
      <c r="F37" s="69">
        <f>SUM(F27:F36)</f>
        <v>1.002</v>
      </c>
      <c r="G37" s="49"/>
      <c r="H37" s="49"/>
      <c r="I37" s="49">
        <f>SUM(I27:I36)</f>
        <v>1329500</v>
      </c>
      <c r="J37" s="49"/>
      <c r="K37" s="49"/>
    </row>
    <row r="38" spans="2:11" x14ac:dyDescent="0.2">
      <c r="B38" s="49"/>
      <c r="C38" s="49"/>
      <c r="D38" s="49"/>
      <c r="E38" s="49"/>
      <c r="F38" s="49"/>
      <c r="G38" s="49"/>
      <c r="H38" s="69"/>
      <c r="I38" s="69"/>
      <c r="J38" s="49"/>
      <c r="K38" s="49"/>
    </row>
    <row r="39" spans="2:11" x14ac:dyDescent="0.2">
      <c r="B39" s="49"/>
      <c r="C39" s="49"/>
      <c r="D39" s="51" t="s">
        <v>144</v>
      </c>
      <c r="E39" s="49">
        <f>+E27+E28</f>
        <v>2180</v>
      </c>
      <c r="F39" s="49"/>
      <c r="G39" s="49"/>
      <c r="H39" s="49"/>
      <c r="I39" s="49"/>
      <c r="J39" s="49"/>
      <c r="K39" s="49"/>
    </row>
    <row r="40" spans="2:11" x14ac:dyDescent="0.2">
      <c r="B40" s="49"/>
      <c r="C40" s="49"/>
      <c r="D40" s="49"/>
      <c r="E40" s="74">
        <f>+E39/E37</f>
        <v>0.48123620309050774</v>
      </c>
      <c r="F40" s="49"/>
      <c r="G40" s="49"/>
      <c r="H40" s="49"/>
      <c r="I40" s="49"/>
      <c r="J40" s="49"/>
      <c r="K40" s="49"/>
    </row>
    <row r="41" spans="2:11" x14ac:dyDescent="0.2">
      <c r="B41" s="49"/>
      <c r="C41" s="49"/>
      <c r="D41" s="49"/>
      <c r="E41" s="49"/>
      <c r="F41" s="49"/>
      <c r="G41" s="49"/>
      <c r="H41" s="49"/>
      <c r="I41" s="49"/>
      <c r="J41" s="49"/>
      <c r="K41" s="4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Kollektorvergleich</vt:lpstr>
      <vt:lpstr>Würzburg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Kollektorvergleich</dc:title>
  <dc:creator>Jürgen Freyer</dc:creator>
  <cp:lastModifiedBy>Jürgen Freyer</cp:lastModifiedBy>
  <dcterms:created xsi:type="dcterms:W3CDTF">2012-01-20T22:10:25Z</dcterms:created>
  <dcterms:modified xsi:type="dcterms:W3CDTF">2016-04-01T10:27:56Z</dcterms:modified>
  <cp:contentStatus>20130519</cp:contentStatus>
</cp:coreProperties>
</file>