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7124" windowHeight="9552"/>
  </bookViews>
  <sheets>
    <sheet name="Vergleich mit Exergie" sheetId="1" r:id="rId1"/>
  </sheets>
  <calcPr calcId="145621"/>
</workbook>
</file>

<file path=xl/calcChain.xml><?xml version="1.0" encoding="utf-8"?>
<calcChain xmlns="http://schemas.openxmlformats.org/spreadsheetml/2006/main">
  <c r="G81" i="1" l="1"/>
  <c r="H81" i="1"/>
  <c r="G82" i="1"/>
  <c r="H82" i="1"/>
  <c r="S56" i="1"/>
  <c r="S57" i="1"/>
  <c r="S58" i="1"/>
  <c r="S59" i="1"/>
  <c r="S60" i="1"/>
  <c r="S61" i="1"/>
  <c r="S62" i="1"/>
  <c r="S63" i="1"/>
  <c r="S64" i="1"/>
  <c r="S55" i="1"/>
  <c r="R65" i="1"/>
  <c r="R56" i="1"/>
  <c r="R57" i="1"/>
  <c r="R58" i="1"/>
  <c r="R59" i="1"/>
  <c r="R60" i="1"/>
  <c r="R61" i="1"/>
  <c r="R62" i="1"/>
  <c r="R63" i="1"/>
  <c r="R64" i="1"/>
  <c r="R55" i="1"/>
  <c r="P48" i="1"/>
  <c r="W32" i="1" l="1"/>
  <c r="E81" i="1" l="1"/>
  <c r="F81" i="1"/>
  <c r="E82" i="1"/>
  <c r="F82" i="1"/>
  <c r="D82" i="1"/>
  <c r="D81" i="1"/>
  <c r="O48" i="1"/>
  <c r="D103" i="1" l="1"/>
  <c r="M48" i="1" l="1"/>
  <c r="N48" i="1"/>
  <c r="L48" i="1"/>
  <c r="E85" i="1" l="1"/>
  <c r="K48" i="1" l="1"/>
  <c r="L73" i="1"/>
  <c r="M73" i="1"/>
  <c r="N73" i="1"/>
  <c r="O73" i="1"/>
  <c r="K73" i="1"/>
  <c r="D105" i="1" l="1"/>
  <c r="G85" i="1" l="1"/>
  <c r="F85" i="1"/>
  <c r="H85" i="1"/>
  <c r="D85" i="1"/>
  <c r="K19" i="1" l="1"/>
  <c r="W31" i="1" l="1"/>
  <c r="N65" i="1" l="1"/>
  <c r="O65" i="1"/>
  <c r="D104" i="1" l="1"/>
  <c r="H86" i="1"/>
  <c r="G86" i="1"/>
  <c r="D86" i="1"/>
  <c r="F86" i="1"/>
  <c r="E86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4" i="1"/>
  <c r="H19" i="1" s="1"/>
  <c r="G14" i="1"/>
  <c r="G19" i="1" s="1"/>
  <c r="F14" i="1"/>
  <c r="F19" i="1" s="1"/>
  <c r="E14" i="1"/>
  <c r="E19" i="1" s="1"/>
  <c r="E44" i="1" s="1"/>
  <c r="D14" i="1"/>
  <c r="D19" i="1" s="1"/>
  <c r="D44" i="1" s="1"/>
  <c r="G12" i="1"/>
  <c r="G9" i="1"/>
  <c r="G8" i="1"/>
  <c r="G7" i="1"/>
  <c r="C14" i="1" s="1"/>
  <c r="G10" i="1" l="1"/>
  <c r="G11" i="1" s="1"/>
  <c r="B80" i="1" s="1"/>
  <c r="C29" i="1"/>
  <c r="F29" i="1" s="1"/>
  <c r="F54" i="1" s="1"/>
  <c r="C32" i="1"/>
  <c r="G32" i="1" s="1"/>
  <c r="G57" i="1" s="1"/>
  <c r="C23" i="1"/>
  <c r="F23" i="1" s="1"/>
  <c r="F48" i="1" s="1"/>
  <c r="C41" i="1"/>
  <c r="G41" i="1" s="1"/>
  <c r="G66" i="1" s="1"/>
  <c r="C31" i="1"/>
  <c r="H31" i="1" s="1"/>
  <c r="H56" i="1" s="1"/>
  <c r="C22" i="1"/>
  <c r="F22" i="1" s="1"/>
  <c r="F47" i="1" s="1"/>
  <c r="C40" i="1"/>
  <c r="F40" i="1" s="1"/>
  <c r="F65" i="1" s="1"/>
  <c r="C20" i="1"/>
  <c r="G20" i="1" s="1"/>
  <c r="G45" i="1" s="1"/>
  <c r="C39" i="1"/>
  <c r="H39" i="1" s="1"/>
  <c r="H64" i="1" s="1"/>
  <c r="C28" i="1"/>
  <c r="D28" i="1" s="1"/>
  <c r="D53" i="1" s="1"/>
  <c r="C37" i="1"/>
  <c r="E37" i="1" s="1"/>
  <c r="E62" i="1" s="1"/>
  <c r="C27" i="1"/>
  <c r="H27" i="1" s="1"/>
  <c r="H52" i="1" s="1"/>
  <c r="C36" i="1"/>
  <c r="H36" i="1" s="1"/>
  <c r="H61" i="1" s="1"/>
  <c r="C26" i="1"/>
  <c r="F26" i="1" s="1"/>
  <c r="F51" i="1" s="1"/>
  <c r="C45" i="1"/>
  <c r="C35" i="1"/>
  <c r="H35" i="1" s="1"/>
  <c r="H60" i="1" s="1"/>
  <c r="C24" i="1"/>
  <c r="G24" i="1" s="1"/>
  <c r="G49" i="1" s="1"/>
  <c r="C33" i="1"/>
  <c r="H33" i="1" s="1"/>
  <c r="H58" i="1" s="1"/>
  <c r="C51" i="1"/>
  <c r="C59" i="1"/>
  <c r="C52" i="1"/>
  <c r="C60" i="1"/>
  <c r="C46" i="1"/>
  <c r="C53" i="1"/>
  <c r="C61" i="1"/>
  <c r="C54" i="1"/>
  <c r="C62" i="1"/>
  <c r="C47" i="1"/>
  <c r="C55" i="1"/>
  <c r="C63" i="1"/>
  <c r="C48" i="1"/>
  <c r="C56" i="1"/>
  <c r="C64" i="1"/>
  <c r="C49" i="1"/>
  <c r="C57" i="1"/>
  <c r="C65" i="1"/>
  <c r="C50" i="1"/>
  <c r="C58" i="1"/>
  <c r="C66" i="1"/>
  <c r="H44" i="1"/>
  <c r="F39" i="1"/>
  <c r="F64" i="1" s="1"/>
  <c r="F44" i="1"/>
  <c r="C80" i="1"/>
  <c r="G44" i="1"/>
  <c r="C21" i="1"/>
  <c r="F21" i="1" s="1"/>
  <c r="F46" i="1" s="1"/>
  <c r="C30" i="1"/>
  <c r="H30" i="1" s="1"/>
  <c r="H55" i="1" s="1"/>
  <c r="C34" i="1"/>
  <c r="E34" i="1" s="1"/>
  <c r="E59" i="1" s="1"/>
  <c r="C38" i="1"/>
  <c r="E38" i="1" s="1"/>
  <c r="E63" i="1" s="1"/>
  <c r="C25" i="1"/>
  <c r="E25" i="1" s="1"/>
  <c r="E50" i="1" s="1"/>
  <c r="D39" i="1" l="1"/>
  <c r="D64" i="1" s="1"/>
  <c r="E29" i="1"/>
  <c r="E54" i="1" s="1"/>
  <c r="E33" i="1"/>
  <c r="E58" i="1" s="1"/>
  <c r="F28" i="1"/>
  <c r="F53" i="1" s="1"/>
  <c r="D24" i="1"/>
  <c r="D49" i="1" s="1"/>
  <c r="E23" i="1"/>
  <c r="E48" i="1" s="1"/>
  <c r="F33" i="1"/>
  <c r="F58" i="1" s="1"/>
  <c r="D33" i="1"/>
  <c r="D58" i="1" s="1"/>
  <c r="G29" i="1"/>
  <c r="G54" i="1" s="1"/>
  <c r="G39" i="1"/>
  <c r="G64" i="1" s="1"/>
  <c r="F24" i="1"/>
  <c r="F49" i="1" s="1"/>
  <c r="H28" i="1"/>
  <c r="H53" i="1" s="1"/>
  <c r="E39" i="1"/>
  <c r="E64" i="1" s="1"/>
  <c r="H24" i="1"/>
  <c r="H49" i="1" s="1"/>
  <c r="G27" i="1"/>
  <c r="G52" i="1" s="1"/>
  <c r="D23" i="1"/>
  <c r="D48" i="1" s="1"/>
  <c r="E24" i="1"/>
  <c r="E49" i="1" s="1"/>
  <c r="H32" i="1"/>
  <c r="H57" i="1" s="1"/>
  <c r="G23" i="1"/>
  <c r="G48" i="1" s="1"/>
  <c r="D27" i="1"/>
  <c r="D52" i="1" s="1"/>
  <c r="D32" i="1"/>
  <c r="D57" i="1" s="1"/>
  <c r="G33" i="1"/>
  <c r="G58" i="1" s="1"/>
  <c r="D29" i="1"/>
  <c r="D54" i="1" s="1"/>
  <c r="E28" i="1"/>
  <c r="E53" i="1" s="1"/>
  <c r="F27" i="1"/>
  <c r="F52" i="1" s="1"/>
  <c r="H29" i="1"/>
  <c r="H54" i="1" s="1"/>
  <c r="F37" i="1"/>
  <c r="F62" i="1" s="1"/>
  <c r="G37" i="1"/>
  <c r="G62" i="1" s="1"/>
  <c r="G28" i="1"/>
  <c r="G53" i="1" s="1"/>
  <c r="H23" i="1"/>
  <c r="H48" i="1" s="1"/>
  <c r="E26" i="1"/>
  <c r="E51" i="1" s="1"/>
  <c r="H26" i="1"/>
  <c r="H51" i="1" s="1"/>
  <c r="G36" i="1"/>
  <c r="G61" i="1" s="1"/>
  <c r="F31" i="1"/>
  <c r="F56" i="1" s="1"/>
  <c r="F41" i="1"/>
  <c r="F66" i="1" s="1"/>
  <c r="F36" i="1"/>
  <c r="F61" i="1" s="1"/>
  <c r="D41" i="1"/>
  <c r="D66" i="1" s="1"/>
  <c r="E32" i="1"/>
  <c r="E57" i="1" s="1"/>
  <c r="H41" i="1"/>
  <c r="H66" i="1" s="1"/>
  <c r="E27" i="1"/>
  <c r="E52" i="1" s="1"/>
  <c r="D36" i="1"/>
  <c r="D61" i="1" s="1"/>
  <c r="C42" i="1"/>
  <c r="G13" i="1"/>
  <c r="G35" i="1"/>
  <c r="G60" i="1" s="1"/>
  <c r="H22" i="1"/>
  <c r="H47" i="1" s="1"/>
  <c r="D31" i="1"/>
  <c r="D56" i="1" s="1"/>
  <c r="E41" i="1"/>
  <c r="E66" i="1" s="1"/>
  <c r="E31" i="1"/>
  <c r="E56" i="1" s="1"/>
  <c r="H40" i="1"/>
  <c r="H65" i="1" s="1"/>
  <c r="D37" i="1"/>
  <c r="D62" i="1" s="1"/>
  <c r="F32" i="1"/>
  <c r="F57" i="1" s="1"/>
  <c r="H37" i="1"/>
  <c r="H62" i="1" s="1"/>
  <c r="E35" i="1"/>
  <c r="E60" i="1" s="1"/>
  <c r="H21" i="1"/>
  <c r="H46" i="1" s="1"/>
  <c r="D35" i="1"/>
  <c r="D60" i="1" s="1"/>
  <c r="G22" i="1"/>
  <c r="G47" i="1" s="1"/>
  <c r="G31" i="1"/>
  <c r="G56" i="1" s="1"/>
  <c r="F20" i="1"/>
  <c r="F45" i="1" s="1"/>
  <c r="E36" i="1"/>
  <c r="E61" i="1" s="1"/>
  <c r="D22" i="1"/>
  <c r="D47" i="1" s="1"/>
  <c r="D26" i="1"/>
  <c r="D51" i="1" s="1"/>
  <c r="G40" i="1"/>
  <c r="G65" i="1" s="1"/>
  <c r="F35" i="1"/>
  <c r="F60" i="1" s="1"/>
  <c r="D40" i="1"/>
  <c r="D65" i="1" s="1"/>
  <c r="D20" i="1"/>
  <c r="D45" i="1" s="1"/>
  <c r="E40" i="1"/>
  <c r="E65" i="1" s="1"/>
  <c r="G30" i="1"/>
  <c r="G55" i="1" s="1"/>
  <c r="E20" i="1"/>
  <c r="E45" i="1" s="1"/>
  <c r="H20" i="1"/>
  <c r="H45" i="1" s="1"/>
  <c r="E22" i="1"/>
  <c r="E47" i="1" s="1"/>
  <c r="G26" i="1"/>
  <c r="G51" i="1" s="1"/>
  <c r="H25" i="1"/>
  <c r="H50" i="1" s="1"/>
  <c r="D25" i="1"/>
  <c r="D50" i="1" s="1"/>
  <c r="F25" i="1"/>
  <c r="F50" i="1" s="1"/>
  <c r="G25" i="1"/>
  <c r="G50" i="1" s="1"/>
  <c r="H38" i="1"/>
  <c r="H63" i="1" s="1"/>
  <c r="F30" i="1"/>
  <c r="F55" i="1" s="1"/>
  <c r="D30" i="1"/>
  <c r="D55" i="1" s="1"/>
  <c r="G38" i="1"/>
  <c r="G63" i="1" s="1"/>
  <c r="G21" i="1"/>
  <c r="G46" i="1" s="1"/>
  <c r="F34" i="1"/>
  <c r="F59" i="1" s="1"/>
  <c r="D21" i="1"/>
  <c r="D46" i="1" s="1"/>
  <c r="F38" i="1"/>
  <c r="F63" i="1" s="1"/>
  <c r="D38" i="1"/>
  <c r="D63" i="1" s="1"/>
  <c r="G34" i="1"/>
  <c r="G59" i="1" s="1"/>
  <c r="E21" i="1"/>
  <c r="E46" i="1" s="1"/>
  <c r="D34" i="1"/>
  <c r="D59" i="1" s="1"/>
  <c r="H34" i="1"/>
  <c r="H59" i="1" s="1"/>
  <c r="E30" i="1"/>
  <c r="E55" i="1" s="1"/>
  <c r="E42" i="1" l="1"/>
  <c r="H42" i="1"/>
  <c r="D42" i="1"/>
  <c r="D78" i="1" s="1"/>
  <c r="D80" i="1" s="1"/>
  <c r="F42" i="1"/>
  <c r="G42" i="1"/>
  <c r="D67" i="1" l="1"/>
  <c r="D90" i="1" s="1"/>
  <c r="D83" i="1"/>
  <c r="D84" i="1" s="1"/>
  <c r="D87" i="1" s="1"/>
  <c r="D88" i="1" s="1"/>
  <c r="D95" i="1" s="1"/>
  <c r="D96" i="1" s="1"/>
  <c r="D97" i="1" s="1"/>
  <c r="G78" i="1"/>
  <c r="G80" i="1" s="1"/>
  <c r="G83" i="1" s="1"/>
  <c r="G84" i="1" s="1"/>
  <c r="G87" i="1" s="1"/>
  <c r="G88" i="1" s="1"/>
  <c r="G95" i="1" s="1"/>
  <c r="G96" i="1" s="1"/>
  <c r="G97" i="1" s="1"/>
  <c r="G67" i="1"/>
  <c r="G90" i="1" s="1"/>
  <c r="E67" i="1"/>
  <c r="E90" i="1" s="1"/>
  <c r="E78" i="1"/>
  <c r="E80" i="1" s="1"/>
  <c r="F78" i="1"/>
  <c r="F80" i="1" s="1"/>
  <c r="F67" i="1"/>
  <c r="F90" i="1" s="1"/>
  <c r="H67" i="1"/>
  <c r="H90" i="1" s="1"/>
  <c r="H78" i="1"/>
  <c r="H80" i="1" s="1"/>
  <c r="H83" i="1" s="1"/>
  <c r="H84" i="1" s="1"/>
  <c r="H87" i="1" s="1"/>
  <c r="H88" i="1" s="1"/>
  <c r="H95" i="1" s="1"/>
  <c r="H96" i="1" s="1"/>
  <c r="H97" i="1" s="1"/>
  <c r="F83" i="1" l="1"/>
  <c r="F84" i="1" s="1"/>
  <c r="F87" i="1" s="1"/>
  <c r="F88" i="1" s="1"/>
  <c r="F95" i="1" s="1"/>
  <c r="F96" i="1" s="1"/>
  <c r="F97" i="1" s="1"/>
  <c r="F79" i="1"/>
  <c r="E83" i="1"/>
  <c r="E84" i="1" s="1"/>
  <c r="E87" i="1" s="1"/>
  <c r="E88" i="1" s="1"/>
  <c r="E95" i="1" s="1"/>
  <c r="E96" i="1" s="1"/>
  <c r="E97" i="1" s="1"/>
  <c r="E79" i="1"/>
  <c r="H91" i="1"/>
  <c r="H93" i="1"/>
  <c r="H94" i="1" s="1"/>
  <c r="E93" i="1"/>
  <c r="E94" i="1" s="1"/>
  <c r="E91" i="1"/>
  <c r="D91" i="1"/>
  <c r="D93" i="1"/>
  <c r="D94" i="1" s="1"/>
  <c r="F93" i="1"/>
  <c r="F94" i="1" s="1"/>
  <c r="F91" i="1"/>
  <c r="G93" i="1"/>
  <c r="G94" i="1" s="1"/>
  <c r="G91" i="1"/>
</calcChain>
</file>

<file path=xl/sharedStrings.xml><?xml version="1.0" encoding="utf-8"?>
<sst xmlns="http://schemas.openxmlformats.org/spreadsheetml/2006/main" count="209" uniqueCount="141">
  <si>
    <t>alle Angaben aus Solar Keymark Zertifikaten bezogen auf aperturfläche</t>
  </si>
  <si>
    <t>Thermosolar</t>
  </si>
  <si>
    <t>Vissmann</t>
  </si>
  <si>
    <t>NUR Grüne Felder Ausfüllen / Ändern</t>
  </si>
  <si>
    <t>Input in green fields</t>
  </si>
  <si>
    <t>GSE2000/TIN</t>
  </si>
  <si>
    <t>CPC 18 OEM</t>
  </si>
  <si>
    <t>cpc star azzuro</t>
  </si>
  <si>
    <t>Power 15</t>
  </si>
  <si>
    <t>Vitosol 200-F SD1</t>
  </si>
  <si>
    <t>Optical efficiency, n0:</t>
  </si>
  <si>
    <t>HT-SA 28/10</t>
  </si>
  <si>
    <t>1st order heat loss coefficient, a1:</t>
  </si>
  <si>
    <t>2nd order heat loss coefficient, a2:</t>
  </si>
  <si>
    <t>Außentemperatur</t>
  </si>
  <si>
    <t>C</t>
  </si>
  <si>
    <t>T VL Kollektor</t>
  </si>
  <si>
    <t>Theta L 50°</t>
  </si>
  <si>
    <t>T RL Kollektor</t>
  </si>
  <si>
    <t>Mittlere kollektortemperatur</t>
  </si>
  <si>
    <t>K</t>
  </si>
  <si>
    <t>Theta T 50°</t>
  </si>
  <si>
    <t>Temperature difference between collector fluid and ambient, Tm-Ta:</t>
  </si>
  <si>
    <t>FK</t>
  </si>
  <si>
    <t>CPC VRK**</t>
  </si>
  <si>
    <t>CPC VRK*</t>
  </si>
  <si>
    <t>* nur ein einfacher gewölbter Spiegel</t>
  </si>
  <si>
    <t>Solar irradiance on collector plane, G:</t>
  </si>
  <si>
    <t>W/m²</t>
  </si>
  <si>
    <t>** doppel-Parabolspiegel</t>
  </si>
  <si>
    <t>Thermodynamischer Wirkungsgrad eta c</t>
  </si>
  <si>
    <t>-</t>
  </si>
  <si>
    <t>Ta</t>
  </si>
  <si>
    <t>Daten diverser Kollektoren</t>
  </si>
  <si>
    <t>n0</t>
  </si>
  <si>
    <t>Solarfokus</t>
  </si>
  <si>
    <t>sunrain VRK</t>
  </si>
  <si>
    <t>Peter solar</t>
  </si>
  <si>
    <t>a1</t>
  </si>
  <si>
    <t>CPC S1</t>
  </si>
  <si>
    <t>TZ-CPC</t>
  </si>
  <si>
    <t>TZ-R</t>
  </si>
  <si>
    <t>TZ</t>
  </si>
  <si>
    <t>Solar easy SPC 21</t>
  </si>
  <si>
    <t>TS400</t>
  </si>
  <si>
    <t>a2</t>
  </si>
  <si>
    <t>Tm</t>
  </si>
  <si>
    <t>Tm-Ta</t>
  </si>
  <si>
    <t>CPC VRK</t>
  </si>
  <si>
    <t>VRK</t>
  </si>
  <si>
    <t>G</t>
  </si>
  <si>
    <t>Theta korrigiert</t>
  </si>
  <si>
    <t xml:space="preserve">Bruttofläche          </t>
  </si>
  <si>
    <t>bezogen auf Apertur</t>
  </si>
  <si>
    <t>Exergie</t>
  </si>
  <si>
    <t>bezogen auf Bruttofläche</t>
  </si>
  <si>
    <t>Aperturfläche</t>
  </si>
  <si>
    <t>Einstrahlung</t>
  </si>
  <si>
    <t>mittlere Kollektortemp</t>
  </si>
  <si>
    <t>TM-TA</t>
  </si>
  <si>
    <t>Original von Jan Erik Nielsen, ESTIF, 2006</t>
  </si>
  <si>
    <t>Abgewandelt und ergänzt Jürgen Freyer, ibf. 2012</t>
  </si>
  <si>
    <t>Paradigma</t>
  </si>
  <si>
    <t xml:space="preserve">Eingaben nur in </t>
  </si>
  <si>
    <t>grüne</t>
  </si>
  <si>
    <t>Felder</t>
  </si>
  <si>
    <t>T Eintritt Kollektor</t>
  </si>
  <si>
    <t>T Austritt Kollektor</t>
  </si>
  <si>
    <t xml:space="preserve">das ungefähre Optimum ist dann in der unteren Grafik zu finden </t>
  </si>
  <si>
    <t>danach kann man dann durch geringfügige Temperaturvariation T Austritt das Exergiemaximum herausfinden, was dann auch den besten Ertrag bringt</t>
  </si>
  <si>
    <t>mal Bruttofläche</t>
  </si>
  <si>
    <t>mal Aperturfläche</t>
  </si>
  <si>
    <t>spez. Ertrag bezogen auf Apertur</t>
  </si>
  <si>
    <t>spez. Ertrag bezogen auf Brutto</t>
  </si>
  <si>
    <t xml:space="preserve">Apertur/Brutto                         </t>
  </si>
  <si>
    <t>Estec</t>
  </si>
  <si>
    <t>VR14-CPC</t>
  </si>
  <si>
    <t>Strahlungsdauer  Würzburg</t>
  </si>
  <si>
    <t>0 - 100</t>
  </si>
  <si>
    <t>100-200</t>
  </si>
  <si>
    <t>200-300</t>
  </si>
  <si>
    <t>300-400</t>
  </si>
  <si>
    <t>400-500</t>
  </si>
  <si>
    <t>500-600</t>
  </si>
  <si>
    <t>600-700</t>
  </si>
  <si>
    <t>700-800</t>
  </si>
  <si>
    <t>800-900</t>
  </si>
  <si>
    <t>&gt;900</t>
  </si>
  <si>
    <t>prozentuale Leistung</t>
  </si>
  <si>
    <t>M-Krypton1</t>
  </si>
  <si>
    <t>Mea-Solar</t>
  </si>
  <si>
    <t>Vakuum FK</t>
  </si>
  <si>
    <t>Consolar</t>
  </si>
  <si>
    <t>Tubo 12 CPC</t>
  </si>
  <si>
    <t>AMK</t>
  </si>
  <si>
    <t>Apertur</t>
  </si>
  <si>
    <t>Brutto</t>
  </si>
  <si>
    <t>eta(0)</t>
  </si>
  <si>
    <t>k1</t>
  </si>
  <si>
    <t>k2</t>
  </si>
  <si>
    <t>h</t>
  </si>
  <si>
    <t>leistung</t>
  </si>
  <si>
    <t>OWR12</t>
  </si>
  <si>
    <t>eta</t>
  </si>
  <si>
    <t>Theta L (50°)</t>
  </si>
  <si>
    <t>Theta T (50°)</t>
  </si>
  <si>
    <t>CPC star azzuro</t>
  </si>
  <si>
    <t>Kollektordaten in grüne Felders eingeben</t>
  </si>
  <si>
    <t>kWh/m³K</t>
  </si>
  <si>
    <t>TVL-TRL</t>
  </si>
  <si>
    <t>Durchfluss</t>
  </si>
  <si>
    <t>wagner solar</t>
  </si>
  <si>
    <t>C20 HTF</t>
  </si>
  <si>
    <t>C20 AR</t>
  </si>
  <si>
    <t>sunrain</t>
  </si>
  <si>
    <t>TZ58/1800 30</t>
  </si>
  <si>
    <t>sunpower</t>
  </si>
  <si>
    <t>SPA-58/1800-30</t>
  </si>
  <si>
    <t>wankang</t>
  </si>
  <si>
    <t>CD 1800/58</t>
  </si>
  <si>
    <t>solar bayer</t>
  </si>
  <si>
    <t>CPC18</t>
  </si>
  <si>
    <t>thermics</t>
  </si>
  <si>
    <t>CPC18 sk</t>
  </si>
  <si>
    <t>10DTH-CPC</t>
  </si>
  <si>
    <t>CPC</t>
  </si>
  <si>
    <t>AcoTec</t>
  </si>
  <si>
    <t>Vario 500</t>
  </si>
  <si>
    <t>Vario 3000</t>
  </si>
  <si>
    <t>Solvis</t>
  </si>
  <si>
    <t xml:space="preserve"> Fera 552</t>
  </si>
  <si>
    <t xml:space="preserve">Ertrag  mit Theta 50°                     </t>
  </si>
  <si>
    <t>sunshoresolar</t>
  </si>
  <si>
    <t>Q-B-J-1-90/3.90.0</t>
  </si>
  <si>
    <t>Hersteller</t>
  </si>
  <si>
    <t>Typ</t>
  </si>
  <si>
    <t xml:space="preserve">VRK mit CPC </t>
  </si>
  <si>
    <t>peter-solar</t>
  </si>
  <si>
    <t>soar easy cpc</t>
  </si>
  <si>
    <t>XXX</t>
  </si>
  <si>
    <t>Druckloser Sydneykollektor direktdurchflossen, chinesische Simpelbauart, Wasser direkt in die Sydneyröhren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</si>
</sst>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00"/>
    <numFmt numFmtId="165" formatCode="#,##0.000"/>
    <numFmt numFmtId="166" formatCode="0.0000"/>
    <numFmt numFmtId="167" formatCode="0.0\ \K"/>
    <numFmt numFmtId="168" formatCode="0\ \W\/\m\²"/>
    <numFmt numFmtId="169" formatCode="0.0%"/>
    <numFmt numFmtId="170" formatCode="0\ \W"/>
    <numFmt numFmtId="171" formatCode="0.00\ \m\²"/>
    <numFmt numFmtId="172" formatCode="0.0\ \W\/\m\²"/>
    <numFmt numFmtId="173" formatCode="0.0"/>
    <numFmt numFmtId="174" formatCode="0.00\ \W"/>
    <numFmt numFmtId="175" formatCode="0.00\ \l\/\m\i\n"/>
    <numFmt numFmtId="176" formatCode="0.000\ \m\³\/\h"/>
    <numFmt numFmtId="177" formatCode="0.000\ \l\/\s\e\c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4" fillId="3" borderId="4" xfId="0" applyNumberFormat="1" applyFont="1" applyFill="1" applyBorder="1" applyAlignment="1" applyProtection="1"/>
    <xf numFmtId="0" fontId="4" fillId="3" borderId="5" xfId="0" applyNumberFormat="1" applyFont="1" applyFill="1" applyBorder="1" applyAlignment="1" applyProtection="1"/>
    <xf numFmtId="0" fontId="4" fillId="3" borderId="9" xfId="0" quotePrefix="1" applyNumberFormat="1" applyFont="1" applyFill="1" applyBorder="1" applyAlignment="1" applyProtection="1"/>
    <xf numFmtId="0" fontId="4" fillId="3" borderId="9" xfId="0" applyNumberFormat="1" applyFont="1" applyFill="1" applyBorder="1" applyAlignment="1" applyProtection="1"/>
    <xf numFmtId="0" fontId="4" fillId="3" borderId="6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/>
    <xf numFmtId="0" fontId="4" fillId="3" borderId="9" xfId="0" applyNumberFormat="1" applyFont="1" applyFill="1" applyBorder="1" applyAlignment="1" applyProtection="1">
      <alignment horizontal="right"/>
    </xf>
    <xf numFmtId="173" fontId="6" fillId="2" borderId="10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/>
    <xf numFmtId="0" fontId="4" fillId="3" borderId="9" xfId="0" applyNumberFormat="1" applyFont="1" applyFill="1" applyBorder="1" applyAlignment="1" applyProtection="1">
      <alignment horizontal="left"/>
    </xf>
    <xf numFmtId="0" fontId="4" fillId="3" borderId="7" xfId="0" applyNumberFormat="1" applyFont="1" applyFill="1" applyBorder="1" applyAlignment="1" applyProtection="1">
      <alignment horizontal="left"/>
    </xf>
    <xf numFmtId="0" fontId="4" fillId="3" borderId="8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4" fillId="3" borderId="10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164" fontId="0" fillId="4" borderId="5" xfId="0" applyNumberFormat="1" applyFill="1" applyBorder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0" fillId="4" borderId="0" xfId="0" applyNumberFormat="1" applyFill="1" applyAlignment="1" applyProtection="1">
      <alignment horizontal="left"/>
    </xf>
    <xf numFmtId="167" fontId="4" fillId="5" borderId="10" xfId="0" applyNumberFormat="1" applyFont="1" applyFill="1" applyBorder="1" applyAlignment="1" applyProtection="1">
      <alignment horizontal="center" vertical="center"/>
    </xf>
    <xf numFmtId="167" fontId="4" fillId="5" borderId="10" xfId="0" applyNumberFormat="1" applyFont="1" applyFill="1" applyBorder="1" applyAlignment="1" applyProtection="1">
      <alignment horizontal="left" vertical="center"/>
    </xf>
    <xf numFmtId="169" fontId="4" fillId="5" borderId="7" xfId="1" applyNumberFormat="1" applyFont="1" applyFill="1" applyBorder="1" applyAlignment="1" applyProtection="1">
      <alignment horizontal="center" vertical="center"/>
    </xf>
    <xf numFmtId="169" fontId="4" fillId="5" borderId="16" xfId="1" applyNumberFormat="1" applyFont="1" applyFill="1" applyBorder="1" applyAlignment="1" applyProtection="1">
      <alignment horizontal="center" vertical="center"/>
    </xf>
    <xf numFmtId="169" fontId="4" fillId="5" borderId="9" xfId="1" applyNumberFormat="1" applyFont="1" applyFill="1" applyBorder="1" applyAlignment="1" applyProtection="1">
      <alignment horizontal="center" vertical="center"/>
    </xf>
    <xf numFmtId="169" fontId="4" fillId="5" borderId="10" xfId="1" applyNumberFormat="1" applyFont="1" applyFill="1" applyBorder="1" applyAlignment="1" applyProtection="1">
      <alignment horizontal="center" vertical="center"/>
    </xf>
    <xf numFmtId="9" fontId="0" fillId="0" borderId="0" xfId="1" applyFont="1" applyProtection="1"/>
    <xf numFmtId="168" fontId="4" fillId="5" borderId="10" xfId="0" applyNumberFormat="1" applyFont="1" applyFill="1" applyBorder="1" applyAlignment="1" applyProtection="1">
      <alignment horizontal="center" vertical="center"/>
    </xf>
    <xf numFmtId="170" fontId="4" fillId="5" borderId="7" xfId="1" applyNumberFormat="1" applyFont="1" applyFill="1" applyBorder="1" applyAlignment="1" applyProtection="1">
      <alignment horizontal="center" vertical="center"/>
    </xf>
    <xf numFmtId="170" fontId="4" fillId="5" borderId="9" xfId="1" applyNumberFormat="1" applyFont="1" applyFill="1" applyBorder="1" applyAlignment="1" applyProtection="1">
      <alignment horizontal="center" vertical="center"/>
    </xf>
    <xf numFmtId="170" fontId="4" fillId="5" borderId="10" xfId="1" applyNumberFormat="1" applyFont="1" applyFill="1" applyBorder="1" applyAlignment="1" applyProtection="1">
      <alignment horizontal="center" vertical="center"/>
    </xf>
    <xf numFmtId="2" fontId="0" fillId="5" borderId="10" xfId="0" applyNumberFormat="1" applyFill="1" applyBorder="1" applyAlignment="1" applyProtection="1">
      <alignment horizontal="center"/>
    </xf>
    <xf numFmtId="2" fontId="0" fillId="5" borderId="7" xfId="0" applyNumberFormat="1" applyFill="1" applyBorder="1" applyAlignment="1" applyProtection="1">
      <alignment horizontal="center"/>
    </xf>
    <xf numFmtId="2" fontId="0" fillId="5" borderId="15" xfId="0" applyNumberFormat="1" applyFill="1" applyBorder="1" applyAlignment="1" applyProtection="1">
      <alignment horizontal="center"/>
    </xf>
    <xf numFmtId="2" fontId="0" fillId="5" borderId="9" xfId="0" applyNumberFormat="1" applyFill="1" applyBorder="1" applyAlignment="1" applyProtection="1">
      <alignment horizontal="center"/>
    </xf>
    <xf numFmtId="170" fontId="4" fillId="5" borderId="15" xfId="1" applyNumberFormat="1" applyFont="1" applyFill="1" applyBorder="1" applyAlignment="1" applyProtection="1">
      <alignment horizontal="center" vertical="center"/>
    </xf>
    <xf numFmtId="167" fontId="7" fillId="5" borderId="7" xfId="0" applyNumberFormat="1" applyFont="1" applyFill="1" applyBorder="1" applyAlignment="1" applyProtection="1">
      <alignment horizontal="left" vertical="center"/>
    </xf>
    <xf numFmtId="167" fontId="4" fillId="5" borderId="0" xfId="0" applyNumberFormat="1" applyFont="1" applyFill="1" applyBorder="1" applyAlignment="1" applyProtection="1">
      <alignment horizontal="center" vertical="center"/>
    </xf>
    <xf numFmtId="172" fontId="4" fillId="5" borderId="10" xfId="1" applyNumberFormat="1" applyFont="1" applyFill="1" applyBorder="1" applyAlignment="1" applyProtection="1">
      <alignment horizontal="center" vertical="center"/>
    </xf>
    <xf numFmtId="172" fontId="4" fillId="5" borderId="7" xfId="1" applyNumberFormat="1" applyFont="1" applyFill="1" applyBorder="1" applyAlignment="1" applyProtection="1">
      <alignment horizontal="center" vertical="center"/>
    </xf>
    <xf numFmtId="172" fontId="4" fillId="5" borderId="15" xfId="1" applyNumberFormat="1" applyFont="1" applyFill="1" applyBorder="1" applyAlignment="1" applyProtection="1">
      <alignment horizontal="center" vertical="center"/>
    </xf>
    <xf numFmtId="172" fontId="4" fillId="5" borderId="9" xfId="1" applyNumberFormat="1" applyFont="1" applyFill="1" applyBorder="1" applyAlignment="1" applyProtection="1">
      <alignment horizontal="center" vertical="center"/>
    </xf>
    <xf numFmtId="171" fontId="4" fillId="5" borderId="10" xfId="1" applyNumberFormat="1" applyFont="1" applyFill="1" applyBorder="1" applyAlignment="1" applyProtection="1">
      <alignment horizontal="center" vertical="center"/>
    </xf>
    <xf numFmtId="171" fontId="4" fillId="5" borderId="7" xfId="1" applyNumberFormat="1" applyFont="1" applyFill="1" applyBorder="1" applyAlignment="1" applyProtection="1">
      <alignment horizontal="center" vertical="center"/>
    </xf>
    <xf numFmtId="171" fontId="4" fillId="5" borderId="15" xfId="1" applyNumberFormat="1" applyFont="1" applyFill="1" applyBorder="1" applyAlignment="1" applyProtection="1">
      <alignment horizontal="center" vertical="center"/>
    </xf>
    <xf numFmtId="171" fontId="4" fillId="5" borderId="9" xfId="1" applyNumberFormat="1" applyFont="1" applyFill="1" applyBorder="1" applyAlignment="1" applyProtection="1">
      <alignment horizontal="center" vertical="center"/>
    </xf>
    <xf numFmtId="172" fontId="4" fillId="5" borderId="19" xfId="1" applyNumberFormat="1" applyFont="1" applyFill="1" applyBorder="1" applyAlignment="1" applyProtection="1">
      <alignment horizontal="center" vertical="center"/>
    </xf>
    <xf numFmtId="170" fontId="4" fillId="5" borderId="13" xfId="1" applyNumberFormat="1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168" fontId="0" fillId="0" borderId="0" xfId="0" applyNumberFormat="1" applyProtection="1"/>
    <xf numFmtId="172" fontId="4" fillId="5" borderId="14" xfId="1" applyNumberFormat="1" applyFont="1" applyFill="1" applyBorder="1" applyAlignment="1" applyProtection="1">
      <alignment horizontal="center" vertical="center"/>
    </xf>
    <xf numFmtId="174" fontId="4" fillId="5" borderId="10" xfId="1" applyNumberFormat="1" applyFont="1" applyFill="1" applyBorder="1" applyAlignment="1" applyProtection="1">
      <alignment horizontal="center" vertical="center"/>
    </xf>
    <xf numFmtId="174" fontId="4" fillId="5" borderId="7" xfId="1" applyNumberFormat="1" applyFont="1" applyFill="1" applyBorder="1" applyAlignment="1" applyProtection="1">
      <alignment horizontal="center" vertical="center"/>
    </xf>
    <xf numFmtId="174" fontId="4" fillId="5" borderId="16" xfId="1" applyNumberFormat="1" applyFont="1" applyFill="1" applyBorder="1" applyAlignment="1" applyProtection="1">
      <alignment horizontal="center" vertical="center"/>
    </xf>
    <xf numFmtId="174" fontId="4" fillId="5" borderId="9" xfId="1" applyNumberFormat="1" applyFont="1" applyFill="1" applyBorder="1" applyAlignment="1" applyProtection="1">
      <alignment horizontal="center" vertical="center"/>
    </xf>
    <xf numFmtId="174" fontId="4" fillId="5" borderId="15" xfId="1" applyNumberFormat="1" applyFont="1" applyFill="1" applyBorder="1" applyAlignment="1" applyProtection="1">
      <alignment horizontal="center" vertical="center"/>
    </xf>
    <xf numFmtId="176" fontId="4" fillId="5" borderId="10" xfId="1" applyNumberFormat="1" applyFont="1" applyFill="1" applyBorder="1" applyAlignment="1" applyProtection="1">
      <alignment horizontal="center" vertical="center"/>
    </xf>
    <xf numFmtId="176" fontId="4" fillId="5" borderId="7" xfId="1" applyNumberFormat="1" applyFont="1" applyFill="1" applyBorder="1" applyAlignment="1" applyProtection="1">
      <alignment horizontal="center" vertical="center"/>
    </xf>
    <xf numFmtId="176" fontId="4" fillId="5" borderId="15" xfId="1" applyNumberFormat="1" applyFont="1" applyFill="1" applyBorder="1" applyAlignment="1" applyProtection="1">
      <alignment horizontal="center" vertical="center"/>
    </xf>
    <xf numFmtId="176" fontId="4" fillId="5" borderId="9" xfId="1" applyNumberFormat="1" applyFont="1" applyFill="1" applyBorder="1" applyAlignment="1" applyProtection="1">
      <alignment horizontal="center" vertical="center"/>
    </xf>
    <xf numFmtId="175" fontId="4" fillId="5" borderId="10" xfId="1" applyNumberFormat="1" applyFont="1" applyFill="1" applyBorder="1" applyAlignment="1" applyProtection="1">
      <alignment horizontal="center" vertical="center"/>
    </xf>
    <xf numFmtId="175" fontId="4" fillId="5" borderId="7" xfId="1" applyNumberFormat="1" applyFont="1" applyFill="1" applyBorder="1" applyAlignment="1" applyProtection="1">
      <alignment horizontal="center" vertical="center"/>
    </xf>
    <xf numFmtId="175" fontId="4" fillId="5" borderId="15" xfId="1" applyNumberFormat="1" applyFont="1" applyFill="1" applyBorder="1" applyAlignment="1" applyProtection="1">
      <alignment horizontal="center" vertical="center"/>
    </xf>
    <xf numFmtId="175" fontId="4" fillId="5" borderId="9" xfId="1" applyNumberFormat="1" applyFont="1" applyFill="1" applyBorder="1" applyAlignment="1" applyProtection="1">
      <alignment horizontal="center" vertical="center"/>
    </xf>
    <xf numFmtId="177" fontId="4" fillId="5" borderId="10" xfId="1" applyNumberFormat="1" applyFont="1" applyFill="1" applyBorder="1" applyAlignment="1" applyProtection="1">
      <alignment horizontal="center" vertical="center"/>
    </xf>
    <xf numFmtId="177" fontId="4" fillId="5" borderId="7" xfId="1" applyNumberFormat="1" applyFont="1" applyFill="1" applyBorder="1" applyAlignment="1" applyProtection="1">
      <alignment horizontal="center" vertical="center"/>
    </xf>
    <xf numFmtId="177" fontId="4" fillId="5" borderId="16" xfId="1" applyNumberFormat="1" applyFont="1" applyFill="1" applyBorder="1" applyAlignment="1" applyProtection="1">
      <alignment horizontal="center" vertical="center"/>
    </xf>
    <xf numFmtId="177" fontId="4" fillId="5" borderId="9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Protection="1"/>
    <xf numFmtId="171" fontId="4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71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166" fontId="0" fillId="0" borderId="0" xfId="0" applyNumberFormat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2" fontId="4" fillId="0" borderId="0" xfId="0" applyNumberFormat="1" applyFont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166" fontId="2" fillId="0" borderId="0" xfId="0" applyNumberFormat="1" applyFont="1" applyProtection="1">
      <protection locked="0"/>
    </xf>
    <xf numFmtId="10" fontId="0" fillId="0" borderId="0" xfId="0" applyNumberFormat="1" applyProtection="1">
      <protection locked="0"/>
    </xf>
    <xf numFmtId="170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0" fillId="0" borderId="0" xfId="0" applyNumberFormat="1" applyProtection="1">
      <protection locked="0"/>
    </xf>
    <xf numFmtId="2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9" fontId="0" fillId="0" borderId="0" xfId="1" applyNumberFormat="1" applyFont="1" applyProtection="1">
      <protection locked="0"/>
    </xf>
    <xf numFmtId="16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6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left"/>
    </xf>
    <xf numFmtId="0" fontId="4" fillId="3" borderId="8" xfId="0" applyNumberFormat="1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170" fontId="4" fillId="0" borderId="5" xfId="0" applyNumberFormat="1" applyFont="1" applyBorder="1" applyAlignment="1" applyProtection="1">
      <alignment horizontal="center"/>
    </xf>
    <xf numFmtId="170" fontId="4" fillId="0" borderId="0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9" fontId="4" fillId="5" borderId="7" xfId="1" applyNumberFormat="1" applyFont="1" applyFill="1" applyBorder="1" applyAlignment="1" applyProtection="1">
      <alignment horizontal="left" vertical="center"/>
    </xf>
    <xf numFmtId="169" fontId="4" fillId="5" borderId="9" xfId="1" applyNumberFormat="1" applyFont="1" applyFill="1" applyBorder="1" applyAlignment="1" applyProtection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16"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C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</dxfs>
  <tableStyles count="0" defaultTableStyle="TableStyleMedium2" defaultPivotStyle="PivotStyleLight16"/>
  <colors>
    <mruColors>
      <color rgb="FFFFFFCC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Typical collector efficiencies</a:t>
            </a:r>
          </a:p>
        </c:rich>
      </c:tx>
      <c:layout>
        <c:manualLayout>
          <c:xMode val="edge"/>
          <c:yMode val="edge"/>
          <c:x val="0.3023071416772205"/>
          <c:y val="3.5888077858880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7543318221448"/>
          <c:y val="0.13868622406644551"/>
          <c:w val="0.813518139003923"/>
          <c:h val="0.613139095872706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'Vergleich mit Exergie'!$D$19</c:f>
              <c:strCache>
                <c:ptCount val="1"/>
                <c:pt idx="0">
                  <c:v> Fera 552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'Vergleich mit Exergie'!$C$20:$C$41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Exergie'!$D$20:$D$41</c:f>
              <c:numCache>
                <c:formatCode>General</c:formatCode>
                <c:ptCount val="22"/>
                <c:pt idx="0">
                  <c:v>0.83099999999999996</c:v>
                </c:pt>
                <c:pt idx="1">
                  <c:v>0.57360714285714276</c:v>
                </c:pt>
                <c:pt idx="2">
                  <c:v>0.30428571428571416</c:v>
                </c:pt>
                <c:pt idx="3">
                  <c:v>2.3035714285714253E-2</c:v>
                </c:pt>
                <c:pt idx="4">
                  <c:v>-0.2701428571428573</c:v>
                </c:pt>
                <c:pt idx="5">
                  <c:v>-0.57525000000000004</c:v>
                </c:pt>
                <c:pt idx="6">
                  <c:v>-0.89228571428571435</c:v>
                </c:pt>
                <c:pt idx="7">
                  <c:v>-1.2212499999999999</c:v>
                </c:pt>
                <c:pt idx="8">
                  <c:v>-1.5621428571428575</c:v>
                </c:pt>
                <c:pt idx="9">
                  <c:v>-1.9149642857142859</c:v>
                </c:pt>
                <c:pt idx="10">
                  <c:v>-2.2797142857142858</c:v>
                </c:pt>
                <c:pt idx="11">
                  <c:v>-2.656392857142857</c:v>
                </c:pt>
                <c:pt idx="12">
                  <c:v>-3.0449999999999999</c:v>
                </c:pt>
                <c:pt idx="13">
                  <c:v>-3.4455357142857146</c:v>
                </c:pt>
                <c:pt idx="14">
                  <c:v>-3.8580000000000001</c:v>
                </c:pt>
                <c:pt idx="15">
                  <c:v>-4.2823928571428578</c:v>
                </c:pt>
                <c:pt idx="16">
                  <c:v>-4.7187142857142863</c:v>
                </c:pt>
                <c:pt idx="17">
                  <c:v>-5.1669642857142861</c:v>
                </c:pt>
                <c:pt idx="18">
                  <c:v>-5.6271428571428572</c:v>
                </c:pt>
                <c:pt idx="19">
                  <c:v>-6.0992499999999996</c:v>
                </c:pt>
                <c:pt idx="20">
                  <c:v>-6.5832857142857142</c:v>
                </c:pt>
                <c:pt idx="21">
                  <c:v>-7.07925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'Vergleich mit Exergie'!$E$19</c:f>
              <c:strCache>
                <c:ptCount val="1"/>
                <c:pt idx="0">
                  <c:v>SPA-58/1800-30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'Vergleich mit Exergie'!$C$20:$C$42</c:f>
              <c:numCache>
                <c:formatCode>General</c:formatCode>
                <c:ptCount val="2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22.5</c:v>
                </c:pt>
              </c:numCache>
            </c:numRef>
          </c:xVal>
          <c:yVal>
            <c:numRef>
              <c:f>'Vergleich mit Exergie'!$E$20:$E$42</c:f>
              <c:numCache>
                <c:formatCode>General</c:formatCode>
                <c:ptCount val="23"/>
                <c:pt idx="0">
                  <c:v>0.53200000000000003</c:v>
                </c:pt>
                <c:pt idx="1">
                  <c:v>0.43885714285714289</c:v>
                </c:pt>
                <c:pt idx="2">
                  <c:v>0.3407142857142858</c:v>
                </c:pt>
                <c:pt idx="3">
                  <c:v>0.2375714285714286</c:v>
                </c:pt>
                <c:pt idx="4">
                  <c:v>0.12942857142857145</c:v>
                </c:pt>
                <c:pt idx="5">
                  <c:v>1.6285714285714344E-2</c:v>
                </c:pt>
                <c:pt idx="6">
                  <c:v>-0.10185714285714283</c:v>
                </c:pt>
                <c:pt idx="7">
                  <c:v>-0.22499999999999998</c:v>
                </c:pt>
                <c:pt idx="8">
                  <c:v>-0.35314285714285715</c:v>
                </c:pt>
                <c:pt idx="9">
                  <c:v>-0.48628571428571415</c:v>
                </c:pt>
                <c:pt idx="10">
                  <c:v>-0.62442857142857133</c:v>
                </c:pt>
                <c:pt idx="11">
                  <c:v>-0.76757142857142868</c:v>
                </c:pt>
                <c:pt idx="12">
                  <c:v>-0.91571428571428559</c:v>
                </c:pt>
                <c:pt idx="13">
                  <c:v>-1.0688571428571427</c:v>
                </c:pt>
                <c:pt idx="14">
                  <c:v>-1.2270000000000001</c:v>
                </c:pt>
                <c:pt idx="15">
                  <c:v>-1.3901428571428571</c:v>
                </c:pt>
                <c:pt idx="16">
                  <c:v>-1.5582857142857145</c:v>
                </c:pt>
                <c:pt idx="17">
                  <c:v>-1.7314285714285715</c:v>
                </c:pt>
                <c:pt idx="18">
                  <c:v>-1.9095714285714287</c:v>
                </c:pt>
                <c:pt idx="19">
                  <c:v>-2.092714285714286</c:v>
                </c:pt>
                <c:pt idx="20">
                  <c:v>-2.2808571428571427</c:v>
                </c:pt>
                <c:pt idx="21">
                  <c:v>-2.4739999999999993</c:v>
                </c:pt>
                <c:pt idx="22" formatCode="0.000">
                  <c:v>7.3482142857142899E-2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'Vergleich mit Exergie'!$F$19</c:f>
              <c:strCache>
                <c:ptCount val="1"/>
                <c:pt idx="0">
                  <c:v>CPC star azzuro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'Vergleich mit Exergie'!$C$20:$C$41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Exergie'!$F$20:$F$41</c:f>
              <c:numCache>
                <c:formatCode>General</c:formatCode>
                <c:ptCount val="22"/>
                <c:pt idx="0">
                  <c:v>0.64400000000000002</c:v>
                </c:pt>
                <c:pt idx="1">
                  <c:v>0.58871428571428575</c:v>
                </c:pt>
                <c:pt idx="2">
                  <c:v>0.5298571428571428</c:v>
                </c:pt>
                <c:pt idx="3">
                  <c:v>0.46742857142857142</c:v>
                </c:pt>
                <c:pt idx="4">
                  <c:v>0.40142857142857141</c:v>
                </c:pt>
                <c:pt idx="5">
                  <c:v>0.3318571428571428</c:v>
                </c:pt>
                <c:pt idx="6">
                  <c:v>0.25871428571428573</c:v>
                </c:pt>
                <c:pt idx="7">
                  <c:v>0.18199999999999997</c:v>
                </c:pt>
                <c:pt idx="8">
                  <c:v>0.10171428571428567</c:v>
                </c:pt>
                <c:pt idx="9">
                  <c:v>1.7857142857142856E-2</c:v>
                </c:pt>
                <c:pt idx="10">
                  <c:v>-6.9571428571428631E-2</c:v>
                </c:pt>
                <c:pt idx="11">
                  <c:v>-0.16057142857142859</c:v>
                </c:pt>
                <c:pt idx="12">
                  <c:v>-0.25514285714285712</c:v>
                </c:pt>
                <c:pt idx="13">
                  <c:v>-0.35328571428571437</c:v>
                </c:pt>
                <c:pt idx="14">
                  <c:v>-0.45500000000000002</c:v>
                </c:pt>
                <c:pt idx="15">
                  <c:v>-0.56028571428571428</c:v>
                </c:pt>
                <c:pt idx="16">
                  <c:v>-0.66914285714285715</c:v>
                </c:pt>
                <c:pt idx="17">
                  <c:v>-0.78157142857142858</c:v>
                </c:pt>
                <c:pt idx="18">
                  <c:v>-0.89757142857142858</c:v>
                </c:pt>
                <c:pt idx="19">
                  <c:v>-1.0171428571428571</c:v>
                </c:pt>
                <c:pt idx="20">
                  <c:v>-1.1402857142857143</c:v>
                </c:pt>
                <c:pt idx="21">
                  <c:v>-1.2669999999999999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'Vergleich mit Exergie'!$G$19</c:f>
              <c:strCache>
                <c:ptCount val="1"/>
                <c:pt idx="0">
                  <c:v>Q-B-J-1-90/3.90.0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'Vergleich mit Exergie'!$C$20:$C$41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Exergie'!$G$20:$G$41</c:f>
              <c:numCache>
                <c:formatCode>General</c:formatCode>
                <c:ptCount val="22"/>
                <c:pt idx="0">
                  <c:v>0.76500000000000001</c:v>
                </c:pt>
                <c:pt idx="1">
                  <c:v>0.64642857142857157</c:v>
                </c:pt>
                <c:pt idx="2">
                  <c:v>0.52785714285714291</c:v>
                </c:pt>
                <c:pt idx="3">
                  <c:v>0.40928571428571436</c:v>
                </c:pt>
                <c:pt idx="4">
                  <c:v>0.29071428571428581</c:v>
                </c:pt>
                <c:pt idx="5">
                  <c:v>0.17214285714285721</c:v>
                </c:pt>
                <c:pt idx="6">
                  <c:v>5.3571428571428673E-2</c:v>
                </c:pt>
                <c:pt idx="7">
                  <c:v>-6.4999999999999863E-2</c:v>
                </c:pt>
                <c:pt idx="8">
                  <c:v>-0.18357142857142839</c:v>
                </c:pt>
                <c:pt idx="9">
                  <c:v>-0.3021428571428571</c:v>
                </c:pt>
                <c:pt idx="10">
                  <c:v>-0.42071428571428565</c:v>
                </c:pt>
                <c:pt idx="11">
                  <c:v>-0.53928571428571415</c:v>
                </c:pt>
                <c:pt idx="12">
                  <c:v>-0.6578571428571427</c:v>
                </c:pt>
                <c:pt idx="13">
                  <c:v>-0.77642857142857125</c:v>
                </c:pt>
                <c:pt idx="14">
                  <c:v>-0.8949999999999998</c:v>
                </c:pt>
                <c:pt idx="15">
                  <c:v>-1.0135714285714283</c:v>
                </c:pt>
                <c:pt idx="16">
                  <c:v>-1.1321428571428567</c:v>
                </c:pt>
                <c:pt idx="17">
                  <c:v>-1.2507142857142854</c:v>
                </c:pt>
                <c:pt idx="18">
                  <c:v>-1.3692857142857142</c:v>
                </c:pt>
                <c:pt idx="19">
                  <c:v>-1.4878571428571425</c:v>
                </c:pt>
                <c:pt idx="20">
                  <c:v>-1.6064285714285713</c:v>
                </c:pt>
                <c:pt idx="21">
                  <c:v>-1.7249999999999996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'Vergleich mit Exergie'!$H$19</c:f>
              <c:strCache>
                <c:ptCount val="1"/>
                <c:pt idx="0">
                  <c:v>OWR12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'Vergleich mit Exergie'!$C$20:$C$41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Exergie'!$H$20:$H$41</c:f>
              <c:numCache>
                <c:formatCode>General</c:formatCode>
                <c:ptCount val="22"/>
                <c:pt idx="0">
                  <c:v>0.80800000000000005</c:v>
                </c:pt>
                <c:pt idx="1">
                  <c:v>0.72367857142857139</c:v>
                </c:pt>
                <c:pt idx="2">
                  <c:v>0.63114285714285712</c:v>
                </c:pt>
                <c:pt idx="3">
                  <c:v>0.53039285714285722</c:v>
                </c:pt>
                <c:pt idx="4">
                  <c:v>0.42142857142857143</c:v>
                </c:pt>
                <c:pt idx="5">
                  <c:v>0.30425000000000002</c:v>
                </c:pt>
                <c:pt idx="6">
                  <c:v>0.17885714285714294</c:v>
                </c:pt>
                <c:pt idx="7">
                  <c:v>4.5250000000000033E-2</c:v>
                </c:pt>
                <c:pt idx="8">
                  <c:v>-9.6571428571428544E-2</c:v>
                </c:pt>
                <c:pt idx="9">
                  <c:v>-0.24660714285714275</c:v>
                </c:pt>
                <c:pt idx="10">
                  <c:v>-0.4048571428571428</c:v>
                </c:pt>
                <c:pt idx="11">
                  <c:v>-0.57132142857142854</c:v>
                </c:pt>
                <c:pt idx="12">
                  <c:v>-0.74599999999999989</c:v>
                </c:pt>
                <c:pt idx="13">
                  <c:v>-0.9288928571428573</c:v>
                </c:pt>
                <c:pt idx="14">
                  <c:v>-1.1200000000000001</c:v>
                </c:pt>
                <c:pt idx="15">
                  <c:v>-1.3193214285714285</c:v>
                </c:pt>
                <c:pt idx="16">
                  <c:v>-1.5268571428571427</c:v>
                </c:pt>
                <c:pt idx="17">
                  <c:v>-1.7426071428571428</c:v>
                </c:pt>
                <c:pt idx="18">
                  <c:v>-1.9665714285714282</c:v>
                </c:pt>
                <c:pt idx="19">
                  <c:v>-2.19875</c:v>
                </c:pt>
                <c:pt idx="20">
                  <c:v>-2.4391428571428571</c:v>
                </c:pt>
                <c:pt idx="21">
                  <c:v>-2.6877499999999999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50720"/>
        <c:axId val="190752640"/>
      </c:scatterChart>
      <c:valAx>
        <c:axId val="19075072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Tm-Ta [K]</a:t>
                </a:r>
              </a:p>
            </c:rich>
          </c:tx>
          <c:layout>
            <c:manualLayout>
              <c:xMode val="edge"/>
              <c:yMode val="edge"/>
              <c:x val="0.48435626554190125"/>
              <c:y val="0.83394208479414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752640"/>
        <c:crosses val="autoZero"/>
        <c:crossBetween val="midCat"/>
        <c:majorUnit val="10"/>
        <c:minorUnit val="5"/>
      </c:valAx>
      <c:valAx>
        <c:axId val="1907526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Efficiency [-]</a:t>
                </a:r>
              </a:p>
            </c:rich>
          </c:tx>
          <c:layout>
            <c:manualLayout>
              <c:xMode val="edge"/>
              <c:yMode val="edge"/>
              <c:x val="2.3779724655819779E-2"/>
              <c:y val="0.330292210280284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750720"/>
        <c:crosses val="autoZero"/>
        <c:crossBetween val="midCat"/>
        <c:majorUnit val="0.2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Einstrahlung</a:t>
            </a:r>
            <a:r>
              <a:rPr lang="de-DE" baseline="0"/>
              <a:t> siehe Berechnung</a:t>
            </a:r>
          </a:p>
        </c:rich>
      </c:tx>
      <c:layout>
        <c:manualLayout>
          <c:xMode val="edge"/>
          <c:yMode val="edge"/>
          <c:x val="0.28210386957672956"/>
          <c:y val="2.7899048419200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4748855332271"/>
          <c:y val="0.13291749999999999"/>
          <c:w val="0.81097380107994466"/>
          <c:h val="0.634193287037037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'Vergleich mit Exergie'!$D$44</c:f>
              <c:strCache>
                <c:ptCount val="1"/>
                <c:pt idx="0">
                  <c:v> Fera 552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'Vergleich mit Exergie'!$C$45:$C$66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Exergie'!$D$45:$D$66</c:f>
              <c:numCache>
                <c:formatCode>0.000</c:formatCode>
                <c:ptCount val="22"/>
                <c:pt idx="0">
                  <c:v>0</c:v>
                </c:pt>
                <c:pt idx="1">
                  <c:v>0.72216726618705018</c:v>
                </c:pt>
                <c:pt idx="2">
                  <c:v>0.75265017667844492</c:v>
                </c:pt>
                <c:pt idx="3">
                  <c:v>8.3984374999999889E-2</c:v>
                </c:pt>
                <c:pt idx="4">
                  <c:v>-1.2907849829351545</c:v>
                </c:pt>
                <c:pt idx="5">
                  <c:v>-3.3781459731543628</c:v>
                </c:pt>
                <c:pt idx="6">
                  <c:v>-6.1841584158415852</c:v>
                </c:pt>
                <c:pt idx="7">
                  <c:v>-9.7144886363636349</c:v>
                </c:pt>
                <c:pt idx="8">
                  <c:v>-13.974440894568692</c:v>
                </c:pt>
                <c:pt idx="9">
                  <c:v>-18.968985849056605</c:v>
                </c:pt>
                <c:pt idx="10">
                  <c:v>-24.702786377708982</c:v>
                </c:pt>
                <c:pt idx="11">
                  <c:v>-31.180221036585365</c:v>
                </c:pt>
                <c:pt idx="12">
                  <c:v>-38.405405405405403</c:v>
                </c:pt>
                <c:pt idx="13">
                  <c:v>-46.382211538461547</c:v>
                </c:pt>
                <c:pt idx="14">
                  <c:v>-55.114285714285714</c:v>
                </c:pt>
                <c:pt idx="15">
                  <c:v>-64.605064655172413</c:v>
                </c:pt>
                <c:pt idx="16">
                  <c:v>-74.857790368271964</c:v>
                </c:pt>
                <c:pt idx="17">
                  <c:v>-85.875523743016771</c:v>
                </c:pt>
                <c:pt idx="18">
                  <c:v>-97.661157024793397</c:v>
                </c:pt>
                <c:pt idx="19">
                  <c:v>-110.2174252717391</c:v>
                </c:pt>
                <c:pt idx="20">
                  <c:v>-123.54691689008042</c:v>
                </c:pt>
                <c:pt idx="21">
                  <c:v>-137.65208333333334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'Vergleich mit Exergie'!$E$44</c:f>
              <c:strCache>
                <c:ptCount val="1"/>
                <c:pt idx="0">
                  <c:v>SPA-58/1800-30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'Vergleich mit Exergie'!$C$45:$C$66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Exergie'!$E$45:$E$66</c:f>
              <c:numCache>
                <c:formatCode>0.000</c:formatCode>
                <c:ptCount val="22"/>
                <c:pt idx="0">
                  <c:v>0</c:v>
                </c:pt>
                <c:pt idx="1">
                  <c:v>0.55251798561151089</c:v>
                </c:pt>
                <c:pt idx="2">
                  <c:v>0.84275618374558336</c:v>
                </c:pt>
                <c:pt idx="3">
                  <c:v>0.86614583333333339</c:v>
                </c:pt>
                <c:pt idx="4">
                  <c:v>0.618430034129693</c:v>
                </c:pt>
                <c:pt idx="5">
                  <c:v>9.5637583892617797E-2</c:v>
                </c:pt>
                <c:pt idx="6">
                  <c:v>-0.70594059405940579</c:v>
                </c:pt>
                <c:pt idx="7">
                  <c:v>-1.7897727272727271</c:v>
                </c:pt>
                <c:pt idx="8">
                  <c:v>-3.1591054313099041</c:v>
                </c:pt>
                <c:pt idx="9">
                  <c:v>-4.8169811320754707</c:v>
                </c:pt>
                <c:pt idx="10">
                  <c:v>-6.7662538699690398</c:v>
                </c:pt>
                <c:pt idx="11">
                  <c:v>-9.0096036585365873</c:v>
                </c:pt>
                <c:pt idx="12">
                  <c:v>-11.549549549549548</c:v>
                </c:pt>
                <c:pt idx="13">
                  <c:v>-14.388461538461538</c:v>
                </c:pt>
                <c:pt idx="14">
                  <c:v>-17.528571428571428</c:v>
                </c:pt>
                <c:pt idx="15">
                  <c:v>-20.971982758620687</c:v>
                </c:pt>
                <c:pt idx="16">
                  <c:v>-24.720679886685556</c:v>
                </c:pt>
                <c:pt idx="17">
                  <c:v>-28.776536312849164</c:v>
                </c:pt>
                <c:pt idx="18">
                  <c:v>-33.141322314049589</c:v>
                </c:pt>
                <c:pt idx="19">
                  <c:v>-37.816711956521743</c:v>
                </c:pt>
                <c:pt idx="20">
                  <c:v>-42.804289544235921</c:v>
                </c:pt>
                <c:pt idx="21">
                  <c:v>-48.105555555555547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'Vergleich mit Exergie'!$F$44</c:f>
              <c:strCache>
                <c:ptCount val="1"/>
                <c:pt idx="0">
                  <c:v>CPC star azzuro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'Vergleich mit Exergie'!$C$45:$C$66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Exergie'!$F$45:$F$66</c:f>
              <c:numCache>
                <c:formatCode>0.000</c:formatCode>
                <c:ptCount val="22"/>
                <c:pt idx="0">
                  <c:v>0</c:v>
                </c:pt>
                <c:pt idx="1">
                  <c:v>0.74118705035971233</c:v>
                </c:pt>
                <c:pt idx="2">
                  <c:v>1.3106007067137808</c:v>
                </c:pt>
                <c:pt idx="3">
                  <c:v>1.7041666666666668</c:v>
                </c:pt>
                <c:pt idx="4">
                  <c:v>1.9180887372013651</c:v>
                </c:pt>
                <c:pt idx="5">
                  <c:v>1.9488255033557045</c:v>
                </c:pt>
                <c:pt idx="6">
                  <c:v>1.7930693069306933</c:v>
                </c:pt>
                <c:pt idx="7">
                  <c:v>1.4477272727272723</c:v>
                </c:pt>
                <c:pt idx="8">
                  <c:v>0.90990415335463215</c:v>
                </c:pt>
                <c:pt idx="9">
                  <c:v>0.17688679245283018</c:v>
                </c:pt>
                <c:pt idx="10">
                  <c:v>-0.75386996904024839</c:v>
                </c:pt>
                <c:pt idx="11">
                  <c:v>-1.8847560975609758</c:v>
                </c:pt>
                <c:pt idx="12">
                  <c:v>-3.2180180180180176</c:v>
                </c:pt>
                <c:pt idx="13">
                  <c:v>-4.7557692307692321</c:v>
                </c:pt>
                <c:pt idx="14">
                  <c:v>-6.5</c:v>
                </c:pt>
                <c:pt idx="15">
                  <c:v>-8.4525862068965516</c:v>
                </c:pt>
                <c:pt idx="16">
                  <c:v>-10.615297450424929</c:v>
                </c:pt>
                <c:pt idx="17">
                  <c:v>-12.989804469273743</c:v>
                </c:pt>
                <c:pt idx="18">
                  <c:v>-15.577685950413224</c:v>
                </c:pt>
                <c:pt idx="19">
                  <c:v>-18.380434782608695</c:v>
                </c:pt>
                <c:pt idx="20">
                  <c:v>-21.399463806970509</c:v>
                </c:pt>
                <c:pt idx="21">
                  <c:v>-24.636111111111113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'Vergleich mit Exergie'!$G$44</c:f>
              <c:strCache>
                <c:ptCount val="1"/>
                <c:pt idx="0">
                  <c:v>Q-B-J-1-90/3.90.0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'Vergleich mit Exergie'!$C$45:$C$66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Exergie'!$G$45:$G$66</c:f>
              <c:numCache>
                <c:formatCode>0.000</c:formatCode>
                <c:ptCount val="22"/>
                <c:pt idx="0">
                  <c:v>0</c:v>
                </c:pt>
                <c:pt idx="1">
                  <c:v>0.81384892086330951</c:v>
                </c:pt>
                <c:pt idx="2">
                  <c:v>1.30565371024735</c:v>
                </c:pt>
                <c:pt idx="3">
                  <c:v>1.4921875000000002</c:v>
                </c:pt>
                <c:pt idx="4">
                  <c:v>1.3890784982935158</c:v>
                </c:pt>
                <c:pt idx="5">
                  <c:v>1.0109060402684569</c:v>
                </c:pt>
                <c:pt idx="6">
                  <c:v>0.37128712871287201</c:v>
                </c:pt>
                <c:pt idx="7">
                  <c:v>-0.51704545454545348</c:v>
                </c:pt>
                <c:pt idx="8">
                  <c:v>-1.6421725239616598</c:v>
                </c:pt>
                <c:pt idx="9">
                  <c:v>-2.9929245283018866</c:v>
                </c:pt>
                <c:pt idx="10">
                  <c:v>-4.5588235294117645</c:v>
                </c:pt>
                <c:pt idx="11">
                  <c:v>-6.3300304878048763</c:v>
                </c:pt>
                <c:pt idx="12">
                  <c:v>-8.2972972972972947</c:v>
                </c:pt>
                <c:pt idx="13">
                  <c:v>-10.451923076923075</c:v>
                </c:pt>
                <c:pt idx="14">
                  <c:v>-12.785714285714283</c:v>
                </c:pt>
                <c:pt idx="15">
                  <c:v>-15.290948275862064</c:v>
                </c:pt>
                <c:pt idx="16">
                  <c:v>-17.96033994334277</c:v>
                </c:pt>
                <c:pt idx="17">
                  <c:v>-20.787011173184354</c:v>
                </c:pt>
                <c:pt idx="18">
                  <c:v>-23.764462809917354</c:v>
                </c:pt>
                <c:pt idx="19">
                  <c:v>-26.88654891304347</c:v>
                </c:pt>
                <c:pt idx="20">
                  <c:v>-30.147453083109919</c:v>
                </c:pt>
                <c:pt idx="21">
                  <c:v>-33.541666666666657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'Vergleich mit Exergie'!$H$44</c:f>
              <c:strCache>
                <c:ptCount val="1"/>
                <c:pt idx="0">
                  <c:v>OWR12</c:v>
                </c:pt>
              </c:strCache>
            </c:strRef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xVal>
            <c:numRef>
              <c:f>'Vergleich mit Exergie'!$C$45:$C$66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'Vergleich mit Exergie'!$H$45:$H$66</c:f>
              <c:numCache>
                <c:formatCode>0.000</c:formatCode>
                <c:ptCount val="22"/>
                <c:pt idx="0">
                  <c:v>0</c:v>
                </c:pt>
                <c:pt idx="1">
                  <c:v>0.91110611510791362</c:v>
                </c:pt>
                <c:pt idx="2">
                  <c:v>1.56113074204947</c:v>
                </c:pt>
                <c:pt idx="3">
                  <c:v>1.9337239583333337</c:v>
                </c:pt>
                <c:pt idx="4">
                  <c:v>2.013651877133106</c:v>
                </c:pt>
                <c:pt idx="5">
                  <c:v>1.7867030201342284</c:v>
                </c:pt>
                <c:pt idx="6">
                  <c:v>1.2396039603960403</c:v>
                </c:pt>
                <c:pt idx="7">
                  <c:v>0.35994318181818208</c:v>
                </c:pt>
                <c:pt idx="8">
                  <c:v>-0.86389776357827452</c:v>
                </c:pt>
                <c:pt idx="9">
                  <c:v>-2.4428066037735841</c:v>
                </c:pt>
                <c:pt idx="10">
                  <c:v>-4.3869969040247678</c:v>
                </c:pt>
                <c:pt idx="11">
                  <c:v>-6.7060594512195122</c:v>
                </c:pt>
                <c:pt idx="12">
                  <c:v>-9.4090090090090062</c:v>
                </c:pt>
                <c:pt idx="13">
                  <c:v>-12.504326923076926</c:v>
                </c:pt>
                <c:pt idx="14">
                  <c:v>-16</c:v>
                </c:pt>
                <c:pt idx="15">
                  <c:v>-19.903556034482758</c:v>
                </c:pt>
                <c:pt idx="16">
                  <c:v>-24.22209631728045</c:v>
                </c:pt>
                <c:pt idx="17">
                  <c:v>-28.962325418994414</c:v>
                </c:pt>
                <c:pt idx="18">
                  <c:v>-34.130578512396688</c:v>
                </c:pt>
                <c:pt idx="19">
                  <c:v>-39.732846467391298</c:v>
                </c:pt>
                <c:pt idx="20">
                  <c:v>-45.774798927613944</c:v>
                </c:pt>
                <c:pt idx="21">
                  <c:v>-52.261805555555554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42624"/>
        <c:axId val="191648896"/>
      </c:scatterChart>
      <c:valAx>
        <c:axId val="19164262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Delta</a:t>
                </a:r>
                <a:r>
                  <a:rPr lang="de-DE" baseline="0"/>
                  <a:t> T = TM-TA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42499030043152697"/>
              <c:y val="0.839284166666666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1648896"/>
        <c:crosses val="autoZero"/>
        <c:crossBetween val="midCat"/>
        <c:majorUnit val="10"/>
      </c:valAx>
      <c:valAx>
        <c:axId val="191648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aseline="0"/>
                </a:pPr>
                <a:r>
                  <a:rPr lang="de-DE" sz="1100" baseline="0"/>
                  <a:t>Kollektor in W/m²  x Carnot-</a:t>
                </a:r>
              </a:p>
              <a:p>
                <a:pPr>
                  <a:defRPr sz="1100" baseline="0"/>
                </a:pPr>
                <a:r>
                  <a:rPr lang="de-DE" sz="1100" baseline="0"/>
                  <a:t>Wirkungsgradfaktor eta_c</a:t>
                </a:r>
              </a:p>
            </c:rich>
          </c:tx>
          <c:layout>
            <c:manualLayout>
              <c:xMode val="edge"/>
              <c:yMode val="edge"/>
              <c:x val="3.3956498473578615E-2"/>
              <c:y val="0.1798658333333333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91642624"/>
        <c:crosses val="autoZero"/>
        <c:crossBetween val="midCat"/>
      </c:valAx>
      <c:spPr>
        <a:ln w="9525"/>
      </c:spPr>
    </c:plotArea>
    <c:legend>
      <c:legendPos val="b"/>
      <c:layout>
        <c:manualLayout>
          <c:xMode val="edge"/>
          <c:yMode val="edge"/>
          <c:x val="8.6490804150242517E-2"/>
          <c:y val="0.9180780092592592"/>
          <c:w val="0.88399830764718845"/>
          <c:h val="6.220555555555555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 i="0" baseline="0"/>
          </a:pPr>
          <a:endParaRPr lang="de-DE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</xdr:colOff>
      <xdr:row>13</xdr:row>
      <xdr:rowOff>5355</xdr:rowOff>
    </xdr:from>
    <xdr:to>
      <xdr:col>8</xdr:col>
      <xdr:colOff>479</xdr:colOff>
      <xdr:row>67</xdr:row>
      <xdr:rowOff>66675</xdr:rowOff>
    </xdr:to>
    <xdr:grpSp>
      <xdr:nvGrpSpPr>
        <xdr:cNvPr id="4" name="Gruppieren 3"/>
        <xdr:cNvGrpSpPr/>
      </xdr:nvGrpSpPr>
      <xdr:grpSpPr>
        <a:xfrm>
          <a:off x="83819" y="2413275"/>
          <a:ext cx="6713700" cy="9530440"/>
          <a:chOff x="93344" y="2300880"/>
          <a:chExt cx="6707985" cy="9462495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93344" y="2300880"/>
          <a:ext cx="6707985" cy="47279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/>
          <xdr:cNvGraphicFramePr>
            <a:graphicFrameLocks/>
          </xdr:cNvGraphicFramePr>
        </xdr:nvGraphicFramePr>
        <xdr:xfrm>
          <a:off x="93344" y="7035447"/>
          <a:ext cx="6706407" cy="47279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0"/>
  <sheetViews>
    <sheetView tabSelected="1" topLeftCell="A34" zoomScale="75" zoomScaleNormal="75" workbookViewId="0">
      <selection activeCell="L51" sqref="L51"/>
    </sheetView>
  </sheetViews>
  <sheetFormatPr baseColWidth="10" defaultColWidth="8.88671875" defaultRowHeight="13.2" x14ac:dyDescent="0.25"/>
  <cols>
    <col min="1" max="1" width="1.44140625" customWidth="1"/>
    <col min="2" max="2" width="13" customWidth="1"/>
    <col min="3" max="3" width="16.33203125" customWidth="1"/>
    <col min="4" max="5" width="13.33203125" customWidth="1"/>
    <col min="6" max="6" width="14.88671875" customWidth="1"/>
    <col min="7" max="8" width="13.33203125" customWidth="1"/>
    <col min="9" max="9" width="2.77734375" customWidth="1"/>
    <col min="10" max="10" width="16.44140625" style="90" customWidth="1"/>
    <col min="11" max="11" width="12" style="90" customWidth="1"/>
    <col min="12" max="12" width="11.5546875" style="90" customWidth="1"/>
    <col min="13" max="13" width="10.44140625" style="90" customWidth="1"/>
    <col min="14" max="14" width="10.33203125" style="90" customWidth="1"/>
    <col min="15" max="15" width="12.5546875" style="90" customWidth="1"/>
    <col min="16" max="16" width="10.88671875" style="90" customWidth="1"/>
    <col min="17" max="17" width="12.77734375" style="90" customWidth="1"/>
    <col min="18" max="18" width="11.21875" style="90" customWidth="1"/>
    <col min="19" max="25" width="8.88671875" style="90"/>
  </cols>
  <sheetData>
    <row r="1" spans="1:45" ht="16.95" customHeight="1" thickBot="1" x14ac:dyDescent="0.3">
      <c r="A1" s="19"/>
      <c r="B1" s="19"/>
      <c r="C1" s="19"/>
      <c r="D1" s="19"/>
      <c r="E1" s="19"/>
      <c r="F1" s="19"/>
      <c r="G1" s="19"/>
      <c r="H1" s="19"/>
      <c r="I1" s="19"/>
      <c r="K1" s="91" t="s">
        <v>0</v>
      </c>
    </row>
    <row r="2" spans="1:45" ht="23.4" thickBot="1" x14ac:dyDescent="0.45">
      <c r="A2" s="19"/>
      <c r="B2" s="119"/>
      <c r="C2" s="120"/>
      <c r="D2" s="120"/>
      <c r="E2" s="120"/>
      <c r="F2" s="120"/>
      <c r="G2" s="120"/>
      <c r="H2" s="121"/>
      <c r="I2" s="19"/>
      <c r="P2" s="92"/>
      <c r="Q2" s="90" t="s">
        <v>3</v>
      </c>
    </row>
    <row r="3" spans="1:45" x14ac:dyDescent="0.25">
      <c r="A3" s="19"/>
      <c r="B3" s="3"/>
      <c r="C3" s="4"/>
      <c r="D3" s="4"/>
      <c r="E3" s="4"/>
      <c r="F3" s="4"/>
      <c r="G3" s="122" t="s">
        <v>4</v>
      </c>
      <c r="H3" s="123"/>
      <c r="I3" s="1"/>
      <c r="J3" s="91"/>
      <c r="P3" s="92"/>
      <c r="Q3" s="92"/>
      <c r="R3" s="92"/>
      <c r="S3" s="92"/>
      <c r="T3" s="92"/>
      <c r="U3" s="92"/>
      <c r="V3" s="92"/>
      <c r="W3" s="92"/>
      <c r="X3" s="92"/>
      <c r="Y3" s="9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25">
      <c r="A4" s="19"/>
      <c r="B4" s="124" t="s">
        <v>10</v>
      </c>
      <c r="C4" s="125"/>
      <c r="D4" s="125"/>
      <c r="E4" s="125"/>
      <c r="F4" s="125"/>
      <c r="G4" s="18"/>
      <c r="H4" s="5"/>
      <c r="I4" s="1"/>
      <c r="P4" s="92"/>
      <c r="Q4" s="92"/>
      <c r="R4" s="92"/>
      <c r="S4" s="90" t="s">
        <v>11</v>
      </c>
      <c r="T4" s="92"/>
      <c r="U4" s="92"/>
      <c r="V4" s="92"/>
      <c r="W4" s="92"/>
      <c r="X4" s="92"/>
      <c r="Y4" s="9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x14ac:dyDescent="0.25">
      <c r="A5" s="19"/>
      <c r="B5" s="124" t="s">
        <v>12</v>
      </c>
      <c r="C5" s="125"/>
      <c r="D5" s="125"/>
      <c r="E5" s="125"/>
      <c r="F5" s="125"/>
      <c r="G5" s="18"/>
      <c r="H5" s="6"/>
      <c r="I5" s="1"/>
      <c r="P5" s="92"/>
      <c r="Q5" s="92"/>
      <c r="R5" s="92"/>
      <c r="S5" s="92">
        <v>0.81699999999999995</v>
      </c>
      <c r="T5" s="92"/>
      <c r="U5" s="92"/>
      <c r="V5" s="92"/>
      <c r="W5" s="92"/>
      <c r="X5" s="92"/>
      <c r="Y5" s="9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x14ac:dyDescent="0.25">
      <c r="A6" s="19"/>
      <c r="B6" s="124" t="s">
        <v>13</v>
      </c>
      <c r="C6" s="125"/>
      <c r="D6" s="125"/>
      <c r="E6" s="125"/>
      <c r="F6" s="125"/>
      <c r="G6" s="18"/>
      <c r="H6" s="7"/>
      <c r="I6" s="1"/>
      <c r="P6" s="92"/>
      <c r="Q6" s="92"/>
      <c r="R6" s="92"/>
      <c r="S6" s="93">
        <v>2.2050000000000001</v>
      </c>
      <c r="T6" s="92"/>
      <c r="U6" s="92"/>
      <c r="V6" s="92"/>
      <c r="W6" s="92"/>
      <c r="X6" s="92"/>
      <c r="Y6" s="9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5">
      <c r="A7" s="19"/>
      <c r="B7" s="17" t="s">
        <v>14</v>
      </c>
      <c r="C7" s="18"/>
      <c r="D7" s="18"/>
      <c r="E7" s="18"/>
      <c r="F7" s="18"/>
      <c r="G7" s="8">
        <f>+D99</f>
        <v>0</v>
      </c>
      <c r="H7" s="7" t="s">
        <v>15</v>
      </c>
      <c r="I7" s="1"/>
      <c r="P7" s="91"/>
      <c r="Q7" s="91"/>
      <c r="R7" s="92"/>
      <c r="S7" s="90">
        <v>1.35E-2</v>
      </c>
      <c r="T7" s="92"/>
      <c r="U7" s="92"/>
      <c r="V7" s="92"/>
      <c r="W7" s="92"/>
      <c r="X7" s="92"/>
      <c r="Y7" s="9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5">
      <c r="A8" s="19"/>
      <c r="B8" s="17" t="s">
        <v>16</v>
      </c>
      <c r="C8" s="18"/>
      <c r="D8" s="18"/>
      <c r="E8" s="18"/>
      <c r="F8" s="18"/>
      <c r="G8" s="8">
        <f t="shared" ref="G8:G9" si="0">+D100</f>
        <v>20</v>
      </c>
      <c r="H8" s="7" t="s">
        <v>15</v>
      </c>
      <c r="I8" s="1"/>
      <c r="K8" s="94" t="s">
        <v>91</v>
      </c>
      <c r="L8" s="95" t="s">
        <v>24</v>
      </c>
      <c r="M8" s="95" t="s">
        <v>24</v>
      </c>
      <c r="N8" s="95" t="s">
        <v>25</v>
      </c>
      <c r="O8" s="95" t="s">
        <v>91</v>
      </c>
      <c r="Q8" s="96" t="s">
        <v>26</v>
      </c>
      <c r="X8" s="92"/>
      <c r="Y8" s="9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A9" s="19"/>
      <c r="B9" s="17" t="s">
        <v>18</v>
      </c>
      <c r="C9" s="18"/>
      <c r="D9" s="18"/>
      <c r="E9" s="18"/>
      <c r="F9" s="18"/>
      <c r="G9" s="8">
        <f t="shared" si="0"/>
        <v>25</v>
      </c>
      <c r="H9" s="7" t="s">
        <v>15</v>
      </c>
      <c r="I9" s="1"/>
      <c r="K9" s="91"/>
      <c r="L9" s="91"/>
      <c r="P9" s="97" t="s">
        <v>29</v>
      </c>
      <c r="Q9" s="91"/>
      <c r="X9" s="92"/>
      <c r="Y9" s="9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5">
      <c r="A10" s="19"/>
      <c r="B10" s="17" t="s">
        <v>19</v>
      </c>
      <c r="C10" s="18"/>
      <c r="D10" s="18"/>
      <c r="E10" s="18"/>
      <c r="F10" s="18"/>
      <c r="G10" s="8">
        <f>+(G8+G9)/2</f>
        <v>22.5</v>
      </c>
      <c r="H10" s="7" t="s">
        <v>20</v>
      </c>
      <c r="I10" s="1"/>
      <c r="K10" s="91"/>
      <c r="P10" s="98"/>
      <c r="Q10" s="91"/>
      <c r="X10" s="92"/>
      <c r="Y10" s="9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5">
      <c r="A11" s="19"/>
      <c r="B11" s="126" t="s">
        <v>22</v>
      </c>
      <c r="C11" s="126"/>
      <c r="D11" s="126"/>
      <c r="E11" s="126"/>
      <c r="F11" s="127"/>
      <c r="G11" s="8">
        <f>+G10-G7</f>
        <v>22.5</v>
      </c>
      <c r="H11" s="7" t="s">
        <v>20</v>
      </c>
      <c r="I11" s="1"/>
      <c r="K11" s="91" t="s">
        <v>33</v>
      </c>
      <c r="L11" s="92"/>
    </row>
    <row r="12" spans="1:45" x14ac:dyDescent="0.25">
      <c r="A12" s="19"/>
      <c r="B12" s="126" t="s">
        <v>27</v>
      </c>
      <c r="C12" s="126"/>
      <c r="D12" s="126"/>
      <c r="E12" s="126"/>
      <c r="F12" s="127"/>
      <c r="G12" s="8">
        <f>+D102</f>
        <v>70</v>
      </c>
      <c r="H12" s="7" t="s">
        <v>28</v>
      </c>
      <c r="I12" s="19"/>
    </row>
    <row r="13" spans="1:45" x14ac:dyDescent="0.25">
      <c r="A13" s="19"/>
      <c r="B13" s="126" t="s">
        <v>30</v>
      </c>
      <c r="C13" s="126"/>
      <c r="D13" s="126"/>
      <c r="E13" s="126"/>
      <c r="F13" s="127"/>
      <c r="G13" s="20">
        <f>+G11/(G10+273)</f>
        <v>7.6142131979695438E-2</v>
      </c>
      <c r="H13" s="5" t="s">
        <v>31</v>
      </c>
      <c r="I13" s="9"/>
      <c r="J13" s="92" t="s">
        <v>134</v>
      </c>
      <c r="K13" s="90" t="s">
        <v>35</v>
      </c>
      <c r="L13" s="90" t="s">
        <v>36</v>
      </c>
      <c r="M13" s="90" t="s">
        <v>36</v>
      </c>
      <c r="N13" s="90" t="s">
        <v>36</v>
      </c>
      <c r="O13" s="99"/>
      <c r="P13" s="100"/>
      <c r="Q13" s="100"/>
      <c r="R13" s="100"/>
      <c r="S13" s="100" t="s">
        <v>37</v>
      </c>
      <c r="T13" s="100" t="s">
        <v>2</v>
      </c>
      <c r="V13" s="90" t="s">
        <v>1</v>
      </c>
      <c r="W13" s="90" t="s">
        <v>90</v>
      </c>
    </row>
    <row r="14" spans="1:45" x14ac:dyDescent="0.25">
      <c r="A14" s="19"/>
      <c r="B14" s="21" t="s">
        <v>32</v>
      </c>
      <c r="C14" s="21">
        <f>+G7</f>
        <v>0</v>
      </c>
      <c r="D14" s="21" t="str">
        <f>+D70</f>
        <v xml:space="preserve"> Fera 552</v>
      </c>
      <c r="E14" s="21" t="str">
        <f>+E70</f>
        <v>SPA-58/1800-30</v>
      </c>
      <c r="F14" s="21" t="str">
        <f>+F70</f>
        <v>CPC star azzuro</v>
      </c>
      <c r="G14" s="21" t="str">
        <f>+G70</f>
        <v>Q-B-J-1-90/3.90.0</v>
      </c>
      <c r="H14" s="21" t="str">
        <f>+H70</f>
        <v>OWR12</v>
      </c>
      <c r="I14" s="19"/>
      <c r="J14" s="92" t="s">
        <v>135</v>
      </c>
      <c r="K14" s="92" t="s">
        <v>39</v>
      </c>
      <c r="L14" s="92" t="s">
        <v>40</v>
      </c>
      <c r="M14" s="92" t="s">
        <v>41</v>
      </c>
      <c r="N14" s="92" t="s">
        <v>42</v>
      </c>
      <c r="O14" s="91" t="s">
        <v>5</v>
      </c>
      <c r="P14" s="100" t="s">
        <v>6</v>
      </c>
      <c r="Q14" s="101" t="s">
        <v>7</v>
      </c>
      <c r="R14" s="100" t="s">
        <v>8</v>
      </c>
      <c r="S14" s="101" t="s">
        <v>43</v>
      </c>
      <c r="T14" s="100" t="s">
        <v>9</v>
      </c>
      <c r="V14" s="90" t="s">
        <v>44</v>
      </c>
      <c r="W14" s="90" t="s">
        <v>89</v>
      </c>
    </row>
    <row r="15" spans="1:45" x14ac:dyDescent="0.25">
      <c r="A15" s="19"/>
      <c r="B15" s="21"/>
      <c r="C15" s="21"/>
      <c r="D15" s="21"/>
      <c r="E15" s="21"/>
      <c r="F15" s="21"/>
      <c r="G15" s="21"/>
      <c r="H15" s="21"/>
      <c r="I15" s="19"/>
      <c r="J15" s="92" t="s">
        <v>97</v>
      </c>
      <c r="K15" s="102">
        <v>0.72699999999999998</v>
      </c>
      <c r="L15" s="102">
        <v>0.63200000000000001</v>
      </c>
      <c r="M15" s="102">
        <v>0.68100000000000005</v>
      </c>
      <c r="N15" s="102">
        <v>0.73399999999999999</v>
      </c>
      <c r="O15" s="102">
        <v>0.80100000000000005</v>
      </c>
      <c r="P15" s="102">
        <v>0.64200000000000002</v>
      </c>
      <c r="Q15" s="102">
        <v>0.64400000000000002</v>
      </c>
      <c r="R15" s="102">
        <v>0.745</v>
      </c>
      <c r="S15" s="102">
        <v>0.71799999999999997</v>
      </c>
      <c r="T15" s="100">
        <v>0.83599999999999997</v>
      </c>
      <c r="V15" s="103">
        <v>0.85299999999999998</v>
      </c>
      <c r="W15" s="103">
        <v>0.81</v>
      </c>
    </row>
    <row r="16" spans="1:45" x14ac:dyDescent="0.25">
      <c r="A16" s="19"/>
      <c r="B16" s="21"/>
      <c r="C16" s="21" t="s">
        <v>34</v>
      </c>
      <c r="D16" s="21">
        <f t="shared" ref="D16:H18" si="1">+D71</f>
        <v>0.83099999999999996</v>
      </c>
      <c r="E16" s="21">
        <f t="shared" si="1"/>
        <v>0.53200000000000003</v>
      </c>
      <c r="F16" s="21">
        <f t="shared" si="1"/>
        <v>0.64400000000000002</v>
      </c>
      <c r="G16" s="21">
        <f t="shared" si="1"/>
        <v>0.76500000000000001</v>
      </c>
      <c r="H16" s="21">
        <f t="shared" si="1"/>
        <v>0.80800000000000005</v>
      </c>
      <c r="I16" s="19"/>
      <c r="J16" s="92" t="s">
        <v>98</v>
      </c>
      <c r="K16" s="102">
        <v>3.948</v>
      </c>
      <c r="L16" s="102">
        <v>0.33800000000000002</v>
      </c>
      <c r="M16" s="102">
        <v>1.96</v>
      </c>
      <c r="N16" s="102">
        <v>1.5920000000000001</v>
      </c>
      <c r="O16" s="102">
        <v>3.64</v>
      </c>
      <c r="P16" s="102">
        <v>0.88500000000000001</v>
      </c>
      <c r="Q16" s="102">
        <v>0.749</v>
      </c>
      <c r="R16" s="102">
        <v>1.53</v>
      </c>
      <c r="S16" s="102">
        <v>0.97399999999999998</v>
      </c>
      <c r="T16" s="100">
        <v>4.16</v>
      </c>
      <c r="V16" s="103">
        <v>4.6980000000000004</v>
      </c>
      <c r="W16" s="103">
        <v>2.21</v>
      </c>
    </row>
    <row r="17" spans="1:23" x14ac:dyDescent="0.25">
      <c r="A17" s="19"/>
      <c r="B17" s="21"/>
      <c r="C17" s="21" t="s">
        <v>38</v>
      </c>
      <c r="D17" s="21">
        <f t="shared" si="1"/>
        <v>3.52</v>
      </c>
      <c r="E17" s="21">
        <f t="shared" si="1"/>
        <v>1.2689999999999999</v>
      </c>
      <c r="F17" s="21">
        <f t="shared" si="1"/>
        <v>0.749</v>
      </c>
      <c r="G17" s="21">
        <f t="shared" si="1"/>
        <v>1.66</v>
      </c>
      <c r="H17" s="21">
        <f t="shared" si="1"/>
        <v>1.123</v>
      </c>
      <c r="I17" s="19"/>
      <c r="J17" s="109" t="s">
        <v>99</v>
      </c>
      <c r="K17" s="102">
        <v>2.1999999999999999E-2</v>
      </c>
      <c r="L17" s="102">
        <v>1.0999999999999999E-2</v>
      </c>
      <c r="M17" s="102">
        <v>2.7E-2</v>
      </c>
      <c r="N17" s="102">
        <v>1.6E-2</v>
      </c>
      <c r="O17" s="102">
        <v>1.06E-2</v>
      </c>
      <c r="P17" s="102">
        <v>1E-3</v>
      </c>
      <c r="Q17" s="102">
        <v>5.0000000000000001E-3</v>
      </c>
      <c r="R17" s="102">
        <v>3.3E-3</v>
      </c>
      <c r="S17" s="102">
        <v>5.0000000000000001E-3</v>
      </c>
      <c r="T17" s="100">
        <v>1.06E-2</v>
      </c>
      <c r="V17" s="103">
        <v>8.0000000000000002E-3</v>
      </c>
      <c r="W17" s="103">
        <v>6.7999999999999996E-3</v>
      </c>
    </row>
    <row r="18" spans="1:23" x14ac:dyDescent="0.25">
      <c r="A18" s="19"/>
      <c r="B18" s="21"/>
      <c r="C18" s="21" t="s">
        <v>45</v>
      </c>
      <c r="D18" s="21">
        <f t="shared" si="1"/>
        <v>1.67E-2</v>
      </c>
      <c r="E18" s="21">
        <f t="shared" si="1"/>
        <v>7.0000000000000001E-3</v>
      </c>
      <c r="F18" s="21">
        <f t="shared" si="1"/>
        <v>5.0000000000000001E-3</v>
      </c>
      <c r="G18" s="21">
        <f t="shared" si="1"/>
        <v>0</v>
      </c>
      <c r="H18" s="21">
        <f t="shared" si="1"/>
        <v>1.15E-2</v>
      </c>
      <c r="I18" s="19"/>
      <c r="J18" s="114" t="s">
        <v>17</v>
      </c>
      <c r="K18" s="102">
        <v>0.91</v>
      </c>
      <c r="L18" s="102">
        <v>0.92</v>
      </c>
      <c r="M18" s="102">
        <v>0.94</v>
      </c>
      <c r="N18" s="102">
        <v>0.92</v>
      </c>
      <c r="O18" s="102">
        <v>0.94</v>
      </c>
      <c r="P18" s="102">
        <v>0.89</v>
      </c>
      <c r="Q18" s="102">
        <v>0.95</v>
      </c>
      <c r="R18" s="102">
        <v>0.91</v>
      </c>
      <c r="S18" s="102">
        <v>0.87</v>
      </c>
      <c r="T18" s="100">
        <v>0.96</v>
      </c>
      <c r="V18" s="103">
        <v>0.95</v>
      </c>
      <c r="W18" s="103">
        <v>0.92</v>
      </c>
    </row>
    <row r="19" spans="1:23" x14ac:dyDescent="0.25">
      <c r="A19" s="19"/>
      <c r="B19" s="21" t="s">
        <v>46</v>
      </c>
      <c r="C19" s="21" t="s">
        <v>47</v>
      </c>
      <c r="D19" s="21" t="str">
        <f>+D14</f>
        <v xml:space="preserve"> Fera 552</v>
      </c>
      <c r="E19" s="21" t="str">
        <f>+E14</f>
        <v>SPA-58/1800-30</v>
      </c>
      <c r="F19" s="21" t="str">
        <f>+F14</f>
        <v>CPC star azzuro</v>
      </c>
      <c r="G19" s="21" t="str">
        <f>+G14</f>
        <v>Q-B-J-1-90/3.90.0</v>
      </c>
      <c r="H19" s="21" t="str">
        <f>+H14</f>
        <v>OWR12</v>
      </c>
      <c r="I19" s="19"/>
      <c r="J19" s="92" t="s">
        <v>21</v>
      </c>
      <c r="K19" s="102">
        <f>(1.09+0.89)/2</f>
        <v>0.99</v>
      </c>
      <c r="L19" s="102">
        <v>0.96</v>
      </c>
      <c r="M19" s="102">
        <v>1.4</v>
      </c>
      <c r="N19" s="102">
        <v>1.37</v>
      </c>
      <c r="O19" s="102">
        <v>0.94</v>
      </c>
      <c r="P19" s="102">
        <v>0.99</v>
      </c>
      <c r="Q19" s="102">
        <v>0.98</v>
      </c>
      <c r="R19" s="102">
        <v>0.97</v>
      </c>
      <c r="S19" s="102">
        <v>1.08</v>
      </c>
      <c r="T19" s="100">
        <v>0.96</v>
      </c>
      <c r="V19" s="103">
        <v>0.95</v>
      </c>
      <c r="W19" s="103">
        <v>0.92</v>
      </c>
    </row>
    <row r="20" spans="1:23" x14ac:dyDescent="0.25">
      <c r="A20" s="19"/>
      <c r="B20" s="21">
        <v>0</v>
      </c>
      <c r="C20" s="21">
        <f>+B20-$C$14</f>
        <v>0</v>
      </c>
      <c r="D20" s="21">
        <f>+($G$12*D$16-D$17*$C20-D$18*$C20^2)/$G$12</f>
        <v>0.83099999999999996</v>
      </c>
      <c r="E20" s="21">
        <f>+($G$12*E$16-E$17*$C20-E$18*$C20^2)/$G$12</f>
        <v>0.53200000000000003</v>
      </c>
      <c r="F20" s="21">
        <f>+($G$12*F$16-F$17*$C20-F$18*$C20^2)/$G$12</f>
        <v>0.64400000000000002</v>
      </c>
      <c r="G20" s="21">
        <f>+($G$12*G$16-G$17*$C20-G$18*$C20^2)/$G$12</f>
        <v>0.76500000000000001</v>
      </c>
      <c r="H20" s="21">
        <f>+($G$12*H$16-H$17*$C20-H$18*$C20^2)/$G$12</f>
        <v>0.80800000000000005</v>
      </c>
      <c r="I20" s="19"/>
      <c r="J20" s="90" t="s">
        <v>95</v>
      </c>
      <c r="K20" s="102"/>
      <c r="L20" s="102"/>
      <c r="M20" s="102"/>
      <c r="N20" s="102"/>
      <c r="O20" s="102"/>
      <c r="P20" s="102"/>
      <c r="Q20" s="102">
        <v>4.5</v>
      </c>
      <c r="R20" s="102"/>
      <c r="S20" s="102"/>
      <c r="T20" s="100"/>
    </row>
    <row r="21" spans="1:23" x14ac:dyDescent="0.25">
      <c r="A21" s="19"/>
      <c r="B21" s="21">
        <v>5</v>
      </c>
      <c r="C21" s="21">
        <f>+B21-$C$14</f>
        <v>5</v>
      </c>
      <c r="D21" s="21">
        <f t="shared" ref="D21:H41" si="2">+($G$12*D$16-D$17*$C21-D$18*$C21^2)/$G$12</f>
        <v>0.57360714285714276</v>
      </c>
      <c r="E21" s="21">
        <f t="shared" si="2"/>
        <v>0.43885714285714289</v>
      </c>
      <c r="F21" s="21">
        <f t="shared" si="2"/>
        <v>0.58871428571428575</v>
      </c>
      <c r="G21" s="21">
        <f t="shared" si="2"/>
        <v>0.64642857142857157</v>
      </c>
      <c r="H21" s="21">
        <f t="shared" si="2"/>
        <v>0.72367857142857139</v>
      </c>
      <c r="I21" s="19"/>
      <c r="J21" s="91" t="s">
        <v>96</v>
      </c>
      <c r="Q21" s="90">
        <v>4.93</v>
      </c>
    </row>
    <row r="22" spans="1:23" x14ac:dyDescent="0.25">
      <c r="A22" s="19"/>
      <c r="B22" s="21">
        <v>10</v>
      </c>
      <c r="C22" s="21">
        <f t="shared" ref="C22:C41" si="3">+B22-$C$14</f>
        <v>10</v>
      </c>
      <c r="D22" s="21">
        <f t="shared" si="2"/>
        <v>0.30428571428571416</v>
      </c>
      <c r="E22" s="21">
        <f t="shared" si="2"/>
        <v>0.3407142857142858</v>
      </c>
      <c r="F22" s="21">
        <f t="shared" si="2"/>
        <v>0.5298571428571428</v>
      </c>
      <c r="G22" s="21">
        <f t="shared" si="2"/>
        <v>0.52785714285714291</v>
      </c>
      <c r="H22" s="21">
        <f t="shared" si="2"/>
        <v>0.63114285714285712</v>
      </c>
      <c r="I22" s="19"/>
      <c r="J22" s="91"/>
    </row>
    <row r="23" spans="1:23" x14ac:dyDescent="0.25">
      <c r="A23" s="19"/>
      <c r="B23" s="21">
        <v>15</v>
      </c>
      <c r="C23" s="21">
        <f t="shared" si="3"/>
        <v>15</v>
      </c>
      <c r="D23" s="21">
        <f t="shared" si="2"/>
        <v>2.3035714285714253E-2</v>
      </c>
      <c r="E23" s="21">
        <f t="shared" si="2"/>
        <v>0.2375714285714286</v>
      </c>
      <c r="F23" s="21">
        <f t="shared" si="2"/>
        <v>0.46742857142857142</v>
      </c>
      <c r="G23" s="21">
        <f t="shared" si="2"/>
        <v>0.40928571428571436</v>
      </c>
      <c r="H23" s="21">
        <f t="shared" si="2"/>
        <v>0.53039285714285722</v>
      </c>
      <c r="I23" s="19"/>
      <c r="J23" s="91"/>
    </row>
    <row r="24" spans="1:23" x14ac:dyDescent="0.25">
      <c r="A24" s="19"/>
      <c r="B24" s="21">
        <v>20</v>
      </c>
      <c r="C24" s="21">
        <f t="shared" si="3"/>
        <v>20</v>
      </c>
      <c r="D24" s="21">
        <f t="shared" si="2"/>
        <v>-0.2701428571428573</v>
      </c>
      <c r="E24" s="21">
        <f t="shared" si="2"/>
        <v>0.12942857142857145</v>
      </c>
      <c r="F24" s="21">
        <f t="shared" si="2"/>
        <v>0.40142857142857141</v>
      </c>
      <c r="G24" s="21">
        <f t="shared" si="2"/>
        <v>0.29071428571428581</v>
      </c>
      <c r="H24" s="21">
        <f t="shared" si="2"/>
        <v>0.42142857142857143</v>
      </c>
      <c r="I24" s="19"/>
      <c r="J24" s="105"/>
    </row>
    <row r="25" spans="1:23" x14ac:dyDescent="0.25">
      <c r="A25" s="19"/>
      <c r="B25" s="21">
        <v>25</v>
      </c>
      <c r="C25" s="21">
        <f t="shared" si="3"/>
        <v>25</v>
      </c>
      <c r="D25" s="21">
        <f t="shared" si="2"/>
        <v>-0.57525000000000004</v>
      </c>
      <c r="E25" s="21">
        <f t="shared" si="2"/>
        <v>1.6285714285714344E-2</v>
      </c>
      <c r="F25" s="21">
        <f t="shared" si="2"/>
        <v>0.3318571428571428</v>
      </c>
      <c r="G25" s="21">
        <f t="shared" si="2"/>
        <v>0.17214285714285721</v>
      </c>
      <c r="H25" s="21">
        <f t="shared" si="2"/>
        <v>0.30425000000000002</v>
      </c>
      <c r="I25" s="19"/>
    </row>
    <row r="26" spans="1:23" x14ac:dyDescent="0.25">
      <c r="A26" s="19"/>
      <c r="B26" s="21">
        <v>30</v>
      </c>
      <c r="C26" s="21">
        <f t="shared" si="3"/>
        <v>30</v>
      </c>
      <c r="D26" s="21">
        <f t="shared" si="2"/>
        <v>-0.89228571428571435</v>
      </c>
      <c r="E26" s="21">
        <f t="shared" si="2"/>
        <v>-0.10185714285714283</v>
      </c>
      <c r="F26" s="21">
        <f t="shared" si="2"/>
        <v>0.25871428571428573</v>
      </c>
      <c r="G26" s="21">
        <f t="shared" si="2"/>
        <v>5.3571428571428673E-2</v>
      </c>
      <c r="H26" s="21">
        <f t="shared" si="2"/>
        <v>0.17885714285714294</v>
      </c>
      <c r="I26" s="19"/>
      <c r="K26" s="91"/>
      <c r="L26" s="92"/>
    </row>
    <row r="27" spans="1:23" x14ac:dyDescent="0.25">
      <c r="A27" s="19"/>
      <c r="B27" s="21">
        <v>35</v>
      </c>
      <c r="C27" s="21">
        <f t="shared" si="3"/>
        <v>35</v>
      </c>
      <c r="D27" s="21">
        <f t="shared" si="2"/>
        <v>-1.2212499999999999</v>
      </c>
      <c r="E27" s="21">
        <f t="shared" si="2"/>
        <v>-0.22499999999999998</v>
      </c>
      <c r="F27" s="21">
        <f t="shared" si="2"/>
        <v>0.18199999999999997</v>
      </c>
      <c r="G27" s="21">
        <f t="shared" si="2"/>
        <v>-6.4999999999999863E-2</v>
      </c>
      <c r="H27" s="21">
        <f t="shared" si="2"/>
        <v>4.5250000000000033E-2</v>
      </c>
      <c r="I27" s="19"/>
      <c r="K27" s="112" t="s">
        <v>136</v>
      </c>
      <c r="L27" s="106" t="s">
        <v>48</v>
      </c>
      <c r="M27" s="94" t="s">
        <v>49</v>
      </c>
      <c r="N27" s="94" t="s">
        <v>23</v>
      </c>
      <c r="O27" s="94" t="s">
        <v>23</v>
      </c>
      <c r="P27" s="107" t="s">
        <v>24</v>
      </c>
      <c r="Q27" s="107" t="s">
        <v>24</v>
      </c>
      <c r="R27" s="107" t="s">
        <v>25</v>
      </c>
      <c r="S27" s="107" t="s">
        <v>24</v>
      </c>
      <c r="T27" s="107" t="s">
        <v>23</v>
      </c>
      <c r="U27" s="108" t="s">
        <v>125</v>
      </c>
      <c r="W27" s="107" t="s">
        <v>91</v>
      </c>
    </row>
    <row r="28" spans="1:23" x14ac:dyDescent="0.25">
      <c r="A28" s="19"/>
      <c r="B28" s="21">
        <v>40</v>
      </c>
      <c r="C28" s="21">
        <f t="shared" si="3"/>
        <v>40</v>
      </c>
      <c r="D28" s="21">
        <f t="shared" si="2"/>
        <v>-1.5621428571428575</v>
      </c>
      <c r="E28" s="21">
        <f t="shared" si="2"/>
        <v>-0.35314285714285715</v>
      </c>
      <c r="F28" s="21">
        <f t="shared" si="2"/>
        <v>0.10171428571428567</v>
      </c>
      <c r="G28" s="21">
        <f t="shared" si="2"/>
        <v>-0.18357142857142839</v>
      </c>
      <c r="H28" s="21">
        <f t="shared" si="2"/>
        <v>-9.6571428571428544E-2</v>
      </c>
      <c r="I28" s="19"/>
      <c r="J28" s="92" t="s">
        <v>134</v>
      </c>
      <c r="K28" s="90" t="s">
        <v>75</v>
      </c>
      <c r="L28" s="92" t="s">
        <v>1</v>
      </c>
      <c r="M28" s="92" t="s">
        <v>92</v>
      </c>
      <c r="N28" s="92" t="s">
        <v>111</v>
      </c>
      <c r="O28" s="92" t="s">
        <v>111</v>
      </c>
      <c r="P28" s="92" t="s">
        <v>114</v>
      </c>
      <c r="Q28" s="92" t="s">
        <v>116</v>
      </c>
      <c r="R28" s="92" t="s">
        <v>118</v>
      </c>
      <c r="S28" s="92" t="s">
        <v>120</v>
      </c>
      <c r="T28" s="92" t="s">
        <v>120</v>
      </c>
      <c r="U28" s="92" t="s">
        <v>122</v>
      </c>
      <c r="W28" s="90">
        <v>2.0299999999999998</v>
      </c>
    </row>
    <row r="29" spans="1:23" x14ac:dyDescent="0.25">
      <c r="A29" s="19"/>
      <c r="B29" s="21">
        <v>45</v>
      </c>
      <c r="C29" s="21">
        <f t="shared" si="3"/>
        <v>45</v>
      </c>
      <c r="D29" s="21">
        <f t="shared" si="2"/>
        <v>-1.9149642857142859</v>
      </c>
      <c r="E29" s="21">
        <f t="shared" si="2"/>
        <v>-0.48628571428571415</v>
      </c>
      <c r="F29" s="21">
        <f t="shared" si="2"/>
        <v>1.7857142857142856E-2</v>
      </c>
      <c r="G29" s="21">
        <f t="shared" si="2"/>
        <v>-0.3021428571428571</v>
      </c>
      <c r="H29" s="21">
        <f t="shared" si="2"/>
        <v>-0.24660714285714275</v>
      </c>
      <c r="I29" s="19"/>
      <c r="J29" s="92" t="s">
        <v>135</v>
      </c>
      <c r="K29" s="92" t="s">
        <v>76</v>
      </c>
      <c r="L29" s="91" t="s">
        <v>44</v>
      </c>
      <c r="M29" s="90" t="s">
        <v>93</v>
      </c>
      <c r="N29" s="92" t="s">
        <v>112</v>
      </c>
      <c r="O29" s="92" t="s">
        <v>113</v>
      </c>
      <c r="P29" s="92" t="s">
        <v>115</v>
      </c>
      <c r="Q29" s="92" t="s">
        <v>117</v>
      </c>
      <c r="R29" s="92" t="s">
        <v>119</v>
      </c>
      <c r="S29" s="92" t="s">
        <v>121</v>
      </c>
      <c r="T29" s="92" t="s">
        <v>123</v>
      </c>
      <c r="U29" s="92" t="s">
        <v>124</v>
      </c>
      <c r="W29" s="90">
        <v>1.76</v>
      </c>
    </row>
    <row r="30" spans="1:23" x14ac:dyDescent="0.25">
      <c r="A30" s="19"/>
      <c r="B30" s="21">
        <v>50</v>
      </c>
      <c r="C30" s="21">
        <f t="shared" si="3"/>
        <v>50</v>
      </c>
      <c r="D30" s="21">
        <f t="shared" si="2"/>
        <v>-2.2797142857142858</v>
      </c>
      <c r="E30" s="21">
        <f t="shared" si="2"/>
        <v>-0.62442857142857133</v>
      </c>
      <c r="F30" s="21">
        <f t="shared" si="2"/>
        <v>-6.9571428571428631E-2</v>
      </c>
      <c r="G30" s="21">
        <f t="shared" si="2"/>
        <v>-0.42071428571428565</v>
      </c>
      <c r="H30" s="21">
        <f t="shared" si="2"/>
        <v>-0.4048571428571428</v>
      </c>
      <c r="I30" s="19"/>
      <c r="J30" s="90" t="s">
        <v>97</v>
      </c>
      <c r="K30" s="102">
        <v>0.60499999999999998</v>
      </c>
      <c r="L30" s="92">
        <v>0.88500000000000001</v>
      </c>
      <c r="M30" s="90">
        <v>0.61399999999999999</v>
      </c>
      <c r="N30" s="90">
        <v>0.76300000000000001</v>
      </c>
      <c r="O30" s="90">
        <v>0.85399999999999998</v>
      </c>
      <c r="P30" s="90">
        <v>0.73399999999999999</v>
      </c>
      <c r="Q30" s="90">
        <v>0.53200000000000003</v>
      </c>
      <c r="R30" s="90">
        <v>0.61199999999999999</v>
      </c>
      <c r="S30" s="90">
        <v>0.71799999999999997</v>
      </c>
      <c r="T30" s="90">
        <v>0.61199999999999999</v>
      </c>
      <c r="U30" s="90">
        <v>0.65300000000000002</v>
      </c>
      <c r="W30" s="90">
        <v>0</v>
      </c>
    </row>
    <row r="31" spans="1:23" x14ac:dyDescent="0.25">
      <c r="A31" s="19"/>
      <c r="B31" s="21">
        <v>55</v>
      </c>
      <c r="C31" s="21">
        <f t="shared" si="3"/>
        <v>55</v>
      </c>
      <c r="D31" s="21">
        <f t="shared" si="2"/>
        <v>-2.656392857142857</v>
      </c>
      <c r="E31" s="21">
        <f t="shared" si="2"/>
        <v>-0.76757142857142868</v>
      </c>
      <c r="F31" s="21">
        <f t="shared" si="2"/>
        <v>-0.16057142857142859</v>
      </c>
      <c r="G31" s="21">
        <f t="shared" si="2"/>
        <v>-0.53928571428571415</v>
      </c>
      <c r="H31" s="21">
        <f t="shared" si="2"/>
        <v>-0.57132142857142854</v>
      </c>
      <c r="I31" s="19"/>
      <c r="J31" s="98" t="s">
        <v>98</v>
      </c>
      <c r="K31" s="102">
        <v>0.85</v>
      </c>
      <c r="L31" s="92">
        <v>4.6980000000000004</v>
      </c>
      <c r="M31" s="90">
        <v>0.39500000000000002</v>
      </c>
      <c r="N31" s="90">
        <v>3.56</v>
      </c>
      <c r="O31" s="90">
        <v>3.37</v>
      </c>
      <c r="P31" s="90">
        <v>1.5289999999999999</v>
      </c>
      <c r="Q31" s="90">
        <v>1.2689999999999999</v>
      </c>
      <c r="R31" s="90">
        <v>2.06</v>
      </c>
      <c r="S31" s="90">
        <v>0.97399999999999998</v>
      </c>
      <c r="T31" s="90">
        <v>1.5049999999999999</v>
      </c>
      <c r="U31" s="90">
        <v>1.41</v>
      </c>
      <c r="W31" s="90">
        <f>+W29/W28</f>
        <v>0.86699507389162567</v>
      </c>
    </row>
    <row r="32" spans="1:23" x14ac:dyDescent="0.25">
      <c r="A32" s="19"/>
      <c r="B32" s="21">
        <v>60</v>
      </c>
      <c r="C32" s="21">
        <f t="shared" si="3"/>
        <v>60</v>
      </c>
      <c r="D32" s="21">
        <f t="shared" si="2"/>
        <v>-3.0449999999999999</v>
      </c>
      <c r="E32" s="21">
        <f t="shared" si="2"/>
        <v>-0.91571428571428559</v>
      </c>
      <c r="F32" s="21">
        <f t="shared" si="2"/>
        <v>-0.25514285714285712</v>
      </c>
      <c r="G32" s="21">
        <f t="shared" si="2"/>
        <v>-0.6578571428571427</v>
      </c>
      <c r="H32" s="21">
        <f t="shared" si="2"/>
        <v>-0.74599999999999989</v>
      </c>
      <c r="I32" s="19"/>
      <c r="J32" s="98" t="s">
        <v>99</v>
      </c>
      <c r="K32" s="102">
        <v>0.01</v>
      </c>
      <c r="L32" s="92">
        <v>8.0000000000000002E-3</v>
      </c>
      <c r="M32" s="90">
        <v>0.02</v>
      </c>
      <c r="N32" s="90">
        <v>1.37E-2</v>
      </c>
      <c r="O32" s="90">
        <v>1.04E-2</v>
      </c>
      <c r="P32" s="90">
        <v>1.6E-2</v>
      </c>
      <c r="Q32" s="90">
        <v>7.0000000000000001E-3</v>
      </c>
      <c r="R32" s="90">
        <v>4.1999999999999997E-3</v>
      </c>
      <c r="S32" s="90">
        <v>5.0000000000000001E-3</v>
      </c>
      <c r="T32" s="90">
        <v>7.0000000000000001E-3</v>
      </c>
      <c r="U32" s="90">
        <v>3.3E-3</v>
      </c>
      <c r="W32" s="90">
        <f>+W30/W29</f>
        <v>0</v>
      </c>
    </row>
    <row r="33" spans="1:21" x14ac:dyDescent="0.25">
      <c r="A33" s="19"/>
      <c r="B33" s="21">
        <v>65</v>
      </c>
      <c r="C33" s="21">
        <f t="shared" si="3"/>
        <v>65</v>
      </c>
      <c r="D33" s="21">
        <f t="shared" si="2"/>
        <v>-3.4455357142857146</v>
      </c>
      <c r="E33" s="21">
        <f t="shared" si="2"/>
        <v>-1.0688571428571427</v>
      </c>
      <c r="F33" s="21">
        <f t="shared" si="2"/>
        <v>-0.35328571428571437</v>
      </c>
      <c r="G33" s="21">
        <f t="shared" si="2"/>
        <v>-0.77642857142857125</v>
      </c>
      <c r="H33" s="21">
        <f t="shared" si="2"/>
        <v>-0.9288928571428573</v>
      </c>
      <c r="I33" s="19"/>
      <c r="J33" s="104" t="s">
        <v>17</v>
      </c>
      <c r="K33" s="102">
        <v>0.92</v>
      </c>
      <c r="L33" s="91">
        <v>0.95</v>
      </c>
      <c r="M33" s="90">
        <v>0.95</v>
      </c>
      <c r="N33" s="90">
        <v>0.82</v>
      </c>
      <c r="O33" s="90">
        <v>0.97</v>
      </c>
      <c r="P33" s="90">
        <v>0.92</v>
      </c>
      <c r="Q33" s="90">
        <v>1.17</v>
      </c>
      <c r="R33" s="90">
        <v>1.26</v>
      </c>
      <c r="S33" s="90">
        <v>1.1000000000000001</v>
      </c>
      <c r="T33" s="90">
        <v>1.1000000000000001</v>
      </c>
      <c r="U33" s="90">
        <v>1.1100000000000001</v>
      </c>
    </row>
    <row r="34" spans="1:21" x14ac:dyDescent="0.25">
      <c r="A34" s="19"/>
      <c r="B34" s="21">
        <v>70</v>
      </c>
      <c r="C34" s="21">
        <f t="shared" si="3"/>
        <v>70</v>
      </c>
      <c r="D34" s="21">
        <f t="shared" si="2"/>
        <v>-3.8580000000000001</v>
      </c>
      <c r="E34" s="21">
        <f t="shared" si="2"/>
        <v>-1.2270000000000001</v>
      </c>
      <c r="F34" s="21">
        <f t="shared" si="2"/>
        <v>-0.45500000000000002</v>
      </c>
      <c r="G34" s="21">
        <f t="shared" si="2"/>
        <v>-0.8949999999999998</v>
      </c>
      <c r="H34" s="21">
        <f t="shared" si="2"/>
        <v>-1.1200000000000001</v>
      </c>
      <c r="I34" s="19"/>
      <c r="J34" s="90" t="s">
        <v>21</v>
      </c>
      <c r="K34" s="102">
        <v>1.1499999999999999</v>
      </c>
      <c r="L34" s="91">
        <v>0.95</v>
      </c>
      <c r="M34" s="90">
        <v>1.04</v>
      </c>
      <c r="N34" s="90">
        <v>0.87</v>
      </c>
      <c r="O34" s="90">
        <v>0.94</v>
      </c>
      <c r="P34" s="90">
        <v>1.37</v>
      </c>
      <c r="Q34" s="90">
        <v>0.88</v>
      </c>
      <c r="R34" s="90">
        <v>0.95</v>
      </c>
      <c r="S34" s="90">
        <v>0.87</v>
      </c>
      <c r="T34" s="90">
        <v>0.87</v>
      </c>
      <c r="U34" s="90">
        <v>0.94</v>
      </c>
    </row>
    <row r="35" spans="1:21" x14ac:dyDescent="0.25">
      <c r="A35" s="19"/>
      <c r="B35" s="21">
        <v>75</v>
      </c>
      <c r="C35" s="21">
        <f t="shared" si="3"/>
        <v>75</v>
      </c>
      <c r="D35" s="21">
        <f t="shared" si="2"/>
        <v>-4.2823928571428578</v>
      </c>
      <c r="E35" s="21">
        <f t="shared" si="2"/>
        <v>-1.3901428571428571</v>
      </c>
      <c r="F35" s="21">
        <f t="shared" si="2"/>
        <v>-0.56028571428571428</v>
      </c>
      <c r="G35" s="21">
        <f t="shared" si="2"/>
        <v>-1.0135714285714283</v>
      </c>
      <c r="H35" s="21">
        <f t="shared" si="2"/>
        <v>-1.3193214285714285</v>
      </c>
      <c r="I35" s="19"/>
      <c r="J35" s="109" t="s">
        <v>95</v>
      </c>
      <c r="K35" s="102"/>
      <c r="L35" s="91"/>
      <c r="N35" s="90">
        <v>2.61</v>
      </c>
      <c r="O35" s="90">
        <v>2.39</v>
      </c>
      <c r="P35" s="90">
        <v>2.79</v>
      </c>
      <c r="Q35" s="90">
        <v>3.6</v>
      </c>
      <c r="R35" s="90">
        <v>3.5649999999999999</v>
      </c>
      <c r="T35" s="90">
        <v>2.83</v>
      </c>
      <c r="U35" s="90">
        <v>1.962</v>
      </c>
    </row>
    <row r="36" spans="1:21" x14ac:dyDescent="0.25">
      <c r="A36" s="19"/>
      <c r="B36" s="21">
        <v>80</v>
      </c>
      <c r="C36" s="21">
        <f t="shared" si="3"/>
        <v>80</v>
      </c>
      <c r="D36" s="21">
        <f t="shared" si="2"/>
        <v>-4.7187142857142863</v>
      </c>
      <c r="E36" s="21">
        <f t="shared" si="2"/>
        <v>-1.5582857142857145</v>
      </c>
      <c r="F36" s="21">
        <f t="shared" si="2"/>
        <v>-0.66914285714285715</v>
      </c>
      <c r="G36" s="21">
        <f t="shared" si="2"/>
        <v>-1.1321428571428567</v>
      </c>
      <c r="H36" s="21">
        <f t="shared" si="2"/>
        <v>-1.5268571428571427</v>
      </c>
      <c r="I36" s="19"/>
      <c r="J36" s="109" t="s">
        <v>96</v>
      </c>
      <c r="N36" s="90">
        <v>2.39</v>
      </c>
      <c r="O36" s="90">
        <v>2.61</v>
      </c>
      <c r="P36" s="90">
        <v>4.7</v>
      </c>
      <c r="Q36" s="90">
        <v>4.8899999999999997</v>
      </c>
      <c r="R36" s="90">
        <v>4.8609999999999998</v>
      </c>
      <c r="T36" s="90">
        <v>3.21</v>
      </c>
      <c r="U36" s="90">
        <v>2.2240000000000002</v>
      </c>
    </row>
    <row r="37" spans="1:21" x14ac:dyDescent="0.25">
      <c r="A37" s="19"/>
      <c r="B37" s="21">
        <v>85</v>
      </c>
      <c r="C37" s="21">
        <f t="shared" si="3"/>
        <v>85</v>
      </c>
      <c r="D37" s="21">
        <f t="shared" si="2"/>
        <v>-5.1669642857142861</v>
      </c>
      <c r="E37" s="21">
        <f t="shared" si="2"/>
        <v>-1.7314285714285715</v>
      </c>
      <c r="F37" s="21">
        <f t="shared" si="2"/>
        <v>-0.78157142857142858</v>
      </c>
      <c r="G37" s="21">
        <f t="shared" si="2"/>
        <v>-1.2507142857142854</v>
      </c>
      <c r="H37" s="21">
        <f t="shared" si="2"/>
        <v>-1.7426071428571428</v>
      </c>
      <c r="I37" s="19"/>
      <c r="J37" s="104"/>
      <c r="L37" s="91"/>
    </row>
    <row r="38" spans="1:21" x14ac:dyDescent="0.25">
      <c r="A38" s="19"/>
      <c r="B38" s="21">
        <v>90</v>
      </c>
      <c r="C38" s="21">
        <f t="shared" si="3"/>
        <v>90</v>
      </c>
      <c r="D38" s="21">
        <f t="shared" si="2"/>
        <v>-5.6271428571428572</v>
      </c>
      <c r="E38" s="21">
        <f t="shared" si="2"/>
        <v>-1.9095714285714287</v>
      </c>
      <c r="F38" s="21">
        <f t="shared" si="2"/>
        <v>-0.89757142857142858</v>
      </c>
      <c r="G38" s="21">
        <f t="shared" si="2"/>
        <v>-1.3692857142857142</v>
      </c>
      <c r="H38" s="21">
        <f t="shared" si="2"/>
        <v>-1.9665714285714282</v>
      </c>
      <c r="I38" s="19"/>
      <c r="K38" s="115" t="s">
        <v>49</v>
      </c>
      <c r="L38" s="91"/>
      <c r="O38" s="92" t="s">
        <v>139</v>
      </c>
    </row>
    <row r="39" spans="1:21" x14ac:dyDescent="0.25">
      <c r="A39" s="19"/>
      <c r="B39" s="21">
        <v>95</v>
      </c>
      <c r="C39" s="21">
        <f t="shared" si="3"/>
        <v>95</v>
      </c>
      <c r="D39" s="21">
        <f t="shared" si="2"/>
        <v>-6.0992499999999996</v>
      </c>
      <c r="E39" s="21">
        <f t="shared" si="2"/>
        <v>-2.092714285714286</v>
      </c>
      <c r="F39" s="21">
        <f t="shared" si="2"/>
        <v>-1.0171428571428571</v>
      </c>
      <c r="G39" s="21">
        <f t="shared" si="2"/>
        <v>-1.4878571428571425</v>
      </c>
      <c r="H39" s="21">
        <f t="shared" si="2"/>
        <v>-2.19875</v>
      </c>
      <c r="I39" s="19"/>
      <c r="J39" s="92" t="s">
        <v>134</v>
      </c>
      <c r="K39" s="91" t="s">
        <v>94</v>
      </c>
      <c r="L39" s="91" t="s">
        <v>126</v>
      </c>
      <c r="M39" s="91" t="s">
        <v>126</v>
      </c>
      <c r="N39" s="92" t="s">
        <v>129</v>
      </c>
      <c r="O39" s="92" t="s">
        <v>132</v>
      </c>
      <c r="P39" s="92" t="s">
        <v>137</v>
      </c>
    </row>
    <row r="40" spans="1:21" ht="24.6" customHeight="1" x14ac:dyDescent="0.25">
      <c r="A40" s="19"/>
      <c r="B40" s="21">
        <v>100</v>
      </c>
      <c r="C40" s="21">
        <f t="shared" si="3"/>
        <v>100</v>
      </c>
      <c r="D40" s="21">
        <f t="shared" si="2"/>
        <v>-6.5832857142857142</v>
      </c>
      <c r="E40" s="21">
        <f t="shared" si="2"/>
        <v>-2.2808571428571427</v>
      </c>
      <c r="F40" s="21">
        <f t="shared" si="2"/>
        <v>-1.1402857142857143</v>
      </c>
      <c r="G40" s="21">
        <f t="shared" si="2"/>
        <v>-1.6064285714285713</v>
      </c>
      <c r="H40" s="21">
        <f t="shared" si="2"/>
        <v>-2.4391428571428571</v>
      </c>
      <c r="I40" s="19"/>
      <c r="J40" s="92" t="s">
        <v>135</v>
      </c>
      <c r="K40" s="91" t="s">
        <v>102</v>
      </c>
      <c r="L40" s="91" t="s">
        <v>127</v>
      </c>
      <c r="M40" s="91" t="s">
        <v>128</v>
      </c>
      <c r="N40" s="90" t="s">
        <v>130</v>
      </c>
      <c r="O40" s="92" t="s">
        <v>133</v>
      </c>
      <c r="P40" s="92" t="s">
        <v>138</v>
      </c>
    </row>
    <row r="41" spans="1:21" x14ac:dyDescent="0.25">
      <c r="A41" s="19"/>
      <c r="B41" s="21">
        <v>105</v>
      </c>
      <c r="C41" s="21">
        <f t="shared" si="3"/>
        <v>105</v>
      </c>
      <c r="D41" s="21">
        <f t="shared" si="2"/>
        <v>-7.07925</v>
      </c>
      <c r="E41" s="21">
        <f t="shared" si="2"/>
        <v>-2.4739999999999993</v>
      </c>
      <c r="F41" s="21">
        <f t="shared" si="2"/>
        <v>-1.2669999999999999</v>
      </c>
      <c r="G41" s="21">
        <f t="shared" si="2"/>
        <v>-1.7249999999999996</v>
      </c>
      <c r="H41" s="21">
        <f t="shared" si="2"/>
        <v>-2.6877499999999999</v>
      </c>
      <c r="I41" s="19"/>
      <c r="J41" s="91" t="s">
        <v>97</v>
      </c>
      <c r="K41" s="91">
        <v>0.80800000000000005</v>
      </c>
      <c r="L41" s="91">
        <v>0.59899999999999998</v>
      </c>
      <c r="M41" s="91">
        <v>0.58599999999999997</v>
      </c>
      <c r="N41" s="91">
        <v>0.83099999999999996</v>
      </c>
      <c r="O41" s="90">
        <v>0.76500000000000001</v>
      </c>
      <c r="P41" s="90">
        <v>0.71799999999999997</v>
      </c>
    </row>
    <row r="42" spans="1:21" x14ac:dyDescent="0.25">
      <c r="A42" s="19"/>
      <c r="B42" s="22">
        <v>120</v>
      </c>
      <c r="C42" s="22">
        <f>+G11</f>
        <v>22.5</v>
      </c>
      <c r="D42" s="23">
        <f>+($G$12*D$16-D$17*$C42-D$18*$C42^2)/$G$12</f>
        <v>-0.42120535714285723</v>
      </c>
      <c r="E42" s="23">
        <f>+($G$12*E$16-E$17*$C42-E$18*$C42^2)/$G$12</f>
        <v>7.3482142857142899E-2</v>
      </c>
      <c r="F42" s="23">
        <f>+($G$12*F$16-F$17*$C42-F$18*$C42^2)/$G$12</f>
        <v>0.36708928571428573</v>
      </c>
      <c r="G42" s="23">
        <f>+($G$12*G$16-G$17*$C42-G$18*$C42^2)/$G$12</f>
        <v>0.23142857142857146</v>
      </c>
      <c r="H42" s="23">
        <f>+($G$12*H$16-H$17*$C42-H$18*$C42^2)/$G$12</f>
        <v>0.36386607142857152</v>
      </c>
      <c r="I42" s="19"/>
      <c r="J42" s="104" t="s">
        <v>98</v>
      </c>
      <c r="K42" s="91">
        <v>1.123</v>
      </c>
      <c r="L42" s="92">
        <v>1.1339999999999999</v>
      </c>
      <c r="M42" s="92">
        <v>1.4850000000000001</v>
      </c>
      <c r="N42" s="92">
        <v>3.52</v>
      </c>
      <c r="O42" s="90">
        <v>1.66</v>
      </c>
      <c r="P42" s="90">
        <v>0.97399999999999998</v>
      </c>
    </row>
    <row r="43" spans="1:2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90" t="s">
        <v>99</v>
      </c>
      <c r="K43" s="90">
        <v>1.15E-2</v>
      </c>
      <c r="L43" s="90">
        <v>3.0000000000000001E-3</v>
      </c>
      <c r="M43" s="90">
        <v>2E-3</v>
      </c>
      <c r="N43" s="90">
        <v>1.67E-2</v>
      </c>
      <c r="O43" s="90">
        <v>0</v>
      </c>
      <c r="P43" s="90">
        <v>5.0000000000000001E-3</v>
      </c>
    </row>
    <row r="44" spans="1:21" x14ac:dyDescent="0.25">
      <c r="A44" s="19"/>
      <c r="B44" s="21" t="s">
        <v>46</v>
      </c>
      <c r="C44" s="21" t="s">
        <v>47</v>
      </c>
      <c r="D44" s="24" t="str">
        <f>+D19</f>
        <v xml:space="preserve"> Fera 552</v>
      </c>
      <c r="E44" s="24" t="str">
        <f t="shared" ref="E44:H44" si="4">+E19</f>
        <v>SPA-58/1800-30</v>
      </c>
      <c r="F44" s="24" t="str">
        <f t="shared" si="4"/>
        <v>CPC star azzuro</v>
      </c>
      <c r="G44" s="24" t="str">
        <f t="shared" si="4"/>
        <v>Q-B-J-1-90/3.90.0</v>
      </c>
      <c r="H44" s="24" t="str">
        <f t="shared" si="4"/>
        <v>OWR12</v>
      </c>
      <c r="I44" s="19"/>
      <c r="J44" s="92" t="s">
        <v>17</v>
      </c>
      <c r="K44" s="90">
        <v>1.55</v>
      </c>
      <c r="L44" s="90">
        <v>1.25</v>
      </c>
      <c r="M44" s="90">
        <v>1.27</v>
      </c>
      <c r="N44" s="90">
        <v>0.94</v>
      </c>
      <c r="O44" s="90">
        <v>1.37</v>
      </c>
      <c r="P44" s="90">
        <v>1.08</v>
      </c>
    </row>
    <row r="45" spans="1:21" x14ac:dyDescent="0.25">
      <c r="A45" s="19"/>
      <c r="B45" s="21">
        <v>0</v>
      </c>
      <c r="C45" s="21">
        <f>+B45-$C$14</f>
        <v>0</v>
      </c>
      <c r="D45" s="24">
        <f>+D20*(($B45-$C$14)/($B45+273))*$G$12</f>
        <v>0</v>
      </c>
      <c r="E45" s="24">
        <f>+E20*(($B45-$C$14)/($B45+273))*$G$12</f>
        <v>0</v>
      </c>
      <c r="F45" s="24">
        <f>+F20*(($B45-$C$14)/($B45+273))*$G$12</f>
        <v>0</v>
      </c>
      <c r="G45" s="24">
        <f>+G20*(($B45-$C$14)/($B45+273))*$G$12</f>
        <v>0</v>
      </c>
      <c r="H45" s="24">
        <f>+H20*(($B45-$C$14)/($B45+273))*$G$12</f>
        <v>0</v>
      </c>
      <c r="I45" s="19"/>
      <c r="J45" s="98" t="s">
        <v>21</v>
      </c>
      <c r="K45" s="90">
        <v>0.97</v>
      </c>
      <c r="L45" s="90">
        <v>1</v>
      </c>
      <c r="M45" s="90">
        <v>1</v>
      </c>
      <c r="N45" s="90">
        <v>0.94</v>
      </c>
      <c r="O45" s="100">
        <v>0.91</v>
      </c>
      <c r="P45" s="100">
        <v>0.99</v>
      </c>
      <c r="Q45" s="100"/>
      <c r="R45" s="100"/>
      <c r="S45" s="100"/>
      <c r="T45" s="100"/>
    </row>
    <row r="46" spans="1:21" x14ac:dyDescent="0.25">
      <c r="A46" s="19"/>
      <c r="B46" s="21">
        <f>+B21</f>
        <v>5</v>
      </c>
      <c r="C46" s="21">
        <f>+B46-$C$14</f>
        <v>5</v>
      </c>
      <c r="D46" s="24">
        <f t="shared" ref="D46:H61" si="5">+D21*(($B46-$C$14)/($B46+273))*$G$12</f>
        <v>0.72216726618705018</v>
      </c>
      <c r="E46" s="24">
        <f t="shared" si="5"/>
        <v>0.55251798561151089</v>
      </c>
      <c r="F46" s="24">
        <f t="shared" si="5"/>
        <v>0.74118705035971233</v>
      </c>
      <c r="G46" s="24">
        <f t="shared" si="5"/>
        <v>0.81384892086330951</v>
      </c>
      <c r="H46" s="24">
        <f t="shared" si="5"/>
        <v>0.91110611510791362</v>
      </c>
      <c r="I46" s="19"/>
      <c r="J46" s="104" t="s">
        <v>95</v>
      </c>
      <c r="K46" s="90">
        <v>1.1200000000000001</v>
      </c>
      <c r="L46" s="92">
        <v>0.73199999999999998</v>
      </c>
      <c r="M46" s="92">
        <v>4.3920000000000003</v>
      </c>
      <c r="N46" s="90">
        <v>5.16</v>
      </c>
      <c r="O46" s="90">
        <v>2.7040000000000002</v>
      </c>
      <c r="P46" s="90">
        <v>3.31</v>
      </c>
    </row>
    <row r="47" spans="1:21" x14ac:dyDescent="0.25">
      <c r="A47" s="19"/>
      <c r="B47" s="21">
        <f t="shared" ref="B47:B66" si="6">+B22</f>
        <v>10</v>
      </c>
      <c r="C47" s="21">
        <f t="shared" ref="C47:C66" si="7">+B47-$C$14</f>
        <v>10</v>
      </c>
      <c r="D47" s="24">
        <f t="shared" si="5"/>
        <v>0.75265017667844492</v>
      </c>
      <c r="E47" s="24">
        <f t="shared" si="5"/>
        <v>0.84275618374558336</v>
      </c>
      <c r="F47" s="24">
        <f t="shared" si="5"/>
        <v>1.3106007067137808</v>
      </c>
      <c r="G47" s="24">
        <f t="shared" si="5"/>
        <v>1.30565371024735</v>
      </c>
      <c r="H47" s="24">
        <f t="shared" si="5"/>
        <v>1.56113074204947</v>
      </c>
      <c r="I47" s="19"/>
      <c r="J47" s="90" t="s">
        <v>96</v>
      </c>
      <c r="K47" s="90">
        <v>2.1059999999999999</v>
      </c>
      <c r="L47" s="90">
        <v>0.81499999999999995</v>
      </c>
      <c r="M47" s="90">
        <v>4.8689999999999998</v>
      </c>
      <c r="N47" s="90">
        <v>5.61</v>
      </c>
      <c r="O47" s="90">
        <v>4.9400000000000004</v>
      </c>
      <c r="P47" s="90">
        <v>3.75</v>
      </c>
    </row>
    <row r="48" spans="1:21" x14ac:dyDescent="0.25">
      <c r="A48" s="19"/>
      <c r="B48" s="21">
        <f t="shared" si="6"/>
        <v>15</v>
      </c>
      <c r="C48" s="21">
        <f t="shared" si="7"/>
        <v>15</v>
      </c>
      <c r="D48" s="24">
        <f t="shared" si="5"/>
        <v>8.3984374999999889E-2</v>
      </c>
      <c r="E48" s="24">
        <f t="shared" si="5"/>
        <v>0.86614583333333339</v>
      </c>
      <c r="F48" s="24">
        <f t="shared" si="5"/>
        <v>1.7041666666666668</v>
      </c>
      <c r="G48" s="24">
        <f t="shared" si="5"/>
        <v>1.4921875000000002</v>
      </c>
      <c r="H48" s="24">
        <f t="shared" si="5"/>
        <v>1.9337239583333337</v>
      </c>
      <c r="I48" s="19"/>
      <c r="K48" s="90">
        <f t="shared" ref="K48:P48" si="8">+K46/K47</f>
        <v>0.53181386514719853</v>
      </c>
      <c r="L48" s="90">
        <f t="shared" si="8"/>
        <v>0.89815950920245402</v>
      </c>
      <c r="M48" s="90">
        <f t="shared" si="8"/>
        <v>0.90203327171903891</v>
      </c>
      <c r="N48" s="90">
        <f t="shared" si="8"/>
        <v>0.9197860962566845</v>
      </c>
      <c r="O48" s="90">
        <f t="shared" si="8"/>
        <v>0.54736842105263162</v>
      </c>
      <c r="P48" s="90">
        <f t="shared" si="8"/>
        <v>0.88266666666666671</v>
      </c>
    </row>
    <row r="49" spans="1:19" x14ac:dyDescent="0.25">
      <c r="A49" s="19"/>
      <c r="B49" s="21">
        <f t="shared" si="6"/>
        <v>20</v>
      </c>
      <c r="C49" s="21">
        <f t="shared" si="7"/>
        <v>20</v>
      </c>
      <c r="D49" s="24">
        <f t="shared" si="5"/>
        <v>-1.2907849829351545</v>
      </c>
      <c r="E49" s="24">
        <f t="shared" si="5"/>
        <v>0.618430034129693</v>
      </c>
      <c r="F49" s="24">
        <f t="shared" si="5"/>
        <v>1.9180887372013651</v>
      </c>
      <c r="G49" s="24">
        <f t="shared" si="5"/>
        <v>1.3890784982935158</v>
      </c>
      <c r="H49" s="24">
        <f t="shared" si="5"/>
        <v>2.013651877133106</v>
      </c>
      <c r="I49" s="19"/>
    </row>
    <row r="50" spans="1:19" x14ac:dyDescent="0.25">
      <c r="A50" s="19"/>
      <c r="B50" s="21">
        <f t="shared" si="6"/>
        <v>25</v>
      </c>
      <c r="C50" s="21">
        <f t="shared" si="7"/>
        <v>25</v>
      </c>
      <c r="D50" s="24">
        <f t="shared" si="5"/>
        <v>-3.3781459731543628</v>
      </c>
      <c r="E50" s="24">
        <f t="shared" si="5"/>
        <v>9.5637583892617797E-2</v>
      </c>
      <c r="F50" s="24">
        <f t="shared" si="5"/>
        <v>1.9488255033557045</v>
      </c>
      <c r="G50" s="24">
        <f t="shared" si="5"/>
        <v>1.0109060402684569</v>
      </c>
      <c r="H50" s="24">
        <f t="shared" si="5"/>
        <v>1.7867030201342284</v>
      </c>
      <c r="I50" s="19"/>
      <c r="K50" s="92" t="s">
        <v>139</v>
      </c>
      <c r="L50" s="92" t="s">
        <v>140</v>
      </c>
    </row>
    <row r="51" spans="1:19" x14ac:dyDescent="0.25">
      <c r="A51" s="19"/>
      <c r="B51" s="21">
        <f t="shared" si="6"/>
        <v>30</v>
      </c>
      <c r="C51" s="21">
        <f t="shared" si="7"/>
        <v>30</v>
      </c>
      <c r="D51" s="24">
        <f t="shared" si="5"/>
        <v>-6.1841584158415852</v>
      </c>
      <c r="E51" s="24">
        <f t="shared" si="5"/>
        <v>-0.70594059405940579</v>
      </c>
      <c r="F51" s="24">
        <f t="shared" si="5"/>
        <v>1.7930693069306933</v>
      </c>
      <c r="G51" s="24">
        <f t="shared" si="5"/>
        <v>0.37128712871287201</v>
      </c>
      <c r="H51" s="24">
        <f t="shared" si="5"/>
        <v>1.2396039603960403</v>
      </c>
      <c r="I51" s="19"/>
    </row>
    <row r="52" spans="1:19" x14ac:dyDescent="0.25">
      <c r="A52" s="19"/>
      <c r="B52" s="21">
        <f t="shared" si="6"/>
        <v>35</v>
      </c>
      <c r="C52" s="21">
        <f t="shared" si="7"/>
        <v>35</v>
      </c>
      <c r="D52" s="24">
        <f t="shared" si="5"/>
        <v>-9.7144886363636349</v>
      </c>
      <c r="E52" s="24">
        <f t="shared" si="5"/>
        <v>-1.7897727272727271</v>
      </c>
      <c r="F52" s="24">
        <f t="shared" si="5"/>
        <v>1.4477272727272723</v>
      </c>
      <c r="G52" s="24">
        <f t="shared" si="5"/>
        <v>-0.51704545454545348</v>
      </c>
      <c r="H52" s="24">
        <f t="shared" si="5"/>
        <v>0.35994318181818208</v>
      </c>
      <c r="I52" s="19"/>
    </row>
    <row r="53" spans="1:19" x14ac:dyDescent="0.25">
      <c r="A53" s="19"/>
      <c r="B53" s="21">
        <f t="shared" si="6"/>
        <v>40</v>
      </c>
      <c r="C53" s="21">
        <f t="shared" si="7"/>
        <v>40</v>
      </c>
      <c r="D53" s="24">
        <f t="shared" si="5"/>
        <v>-13.974440894568692</v>
      </c>
      <c r="E53" s="24">
        <f t="shared" si="5"/>
        <v>-3.1591054313099041</v>
      </c>
      <c r="F53" s="24">
        <f t="shared" si="5"/>
        <v>0.90990415335463215</v>
      </c>
      <c r="G53" s="24">
        <f t="shared" si="5"/>
        <v>-1.6421725239616598</v>
      </c>
      <c r="H53" s="24">
        <f t="shared" si="5"/>
        <v>-0.86389776357827452</v>
      </c>
      <c r="I53" s="19"/>
      <c r="M53" s="90" t="s">
        <v>77</v>
      </c>
      <c r="O53" s="90" t="s">
        <v>88</v>
      </c>
    </row>
    <row r="54" spans="1:19" x14ac:dyDescent="0.25">
      <c r="A54" s="19"/>
      <c r="B54" s="21">
        <f t="shared" si="6"/>
        <v>45</v>
      </c>
      <c r="C54" s="21">
        <f t="shared" si="7"/>
        <v>45</v>
      </c>
      <c r="D54" s="24">
        <f t="shared" si="5"/>
        <v>-18.968985849056605</v>
      </c>
      <c r="E54" s="24">
        <f t="shared" si="5"/>
        <v>-4.8169811320754707</v>
      </c>
      <c r="F54" s="24">
        <f t="shared" si="5"/>
        <v>0.17688679245283018</v>
      </c>
      <c r="G54" s="24">
        <f t="shared" si="5"/>
        <v>-2.9929245283018866</v>
      </c>
      <c r="H54" s="24">
        <f t="shared" si="5"/>
        <v>-2.4428066037735841</v>
      </c>
      <c r="I54" s="19"/>
      <c r="N54" s="92" t="s">
        <v>100</v>
      </c>
      <c r="O54" s="92" t="s">
        <v>101</v>
      </c>
    </row>
    <row r="55" spans="1:19" x14ac:dyDescent="0.25">
      <c r="A55" s="19"/>
      <c r="B55" s="21">
        <f t="shared" si="6"/>
        <v>50</v>
      </c>
      <c r="C55" s="21">
        <f t="shared" si="7"/>
        <v>50</v>
      </c>
      <c r="D55" s="24">
        <f t="shared" si="5"/>
        <v>-24.702786377708982</v>
      </c>
      <c r="E55" s="24">
        <f t="shared" si="5"/>
        <v>-6.7662538699690398</v>
      </c>
      <c r="F55" s="24">
        <f t="shared" si="5"/>
        <v>-0.75386996904024839</v>
      </c>
      <c r="G55" s="24">
        <f t="shared" si="5"/>
        <v>-4.5588235294117645</v>
      </c>
      <c r="H55" s="24">
        <f t="shared" si="5"/>
        <v>-4.3869969040247678</v>
      </c>
      <c r="I55" s="19"/>
      <c r="M55" s="90" t="s">
        <v>78</v>
      </c>
      <c r="N55" s="90">
        <v>1460</v>
      </c>
      <c r="O55" s="110">
        <v>4.8000000000000001E-2</v>
      </c>
      <c r="Q55" s="90">
        <v>50</v>
      </c>
      <c r="R55" s="90">
        <f>+Q55*N55</f>
        <v>73000</v>
      </c>
      <c r="S55" s="116">
        <f>+R55/R$65</f>
        <v>5.4907860097781119E-2</v>
      </c>
    </row>
    <row r="56" spans="1:19" x14ac:dyDescent="0.25">
      <c r="A56" s="19"/>
      <c r="B56" s="21">
        <f t="shared" si="6"/>
        <v>55</v>
      </c>
      <c r="C56" s="21">
        <f t="shared" si="7"/>
        <v>55</v>
      </c>
      <c r="D56" s="24">
        <f t="shared" si="5"/>
        <v>-31.180221036585365</v>
      </c>
      <c r="E56" s="24">
        <f t="shared" si="5"/>
        <v>-9.0096036585365873</v>
      </c>
      <c r="F56" s="24">
        <f t="shared" si="5"/>
        <v>-1.8847560975609758</v>
      </c>
      <c r="G56" s="24">
        <f t="shared" si="5"/>
        <v>-6.3300304878048763</v>
      </c>
      <c r="H56" s="24">
        <f t="shared" si="5"/>
        <v>-6.7060594512195122</v>
      </c>
      <c r="I56" s="19"/>
      <c r="M56" s="90" t="s">
        <v>79</v>
      </c>
      <c r="N56" s="90">
        <v>720</v>
      </c>
      <c r="O56" s="110">
        <v>8.6999999999999994E-2</v>
      </c>
      <c r="Q56" s="90">
        <v>150</v>
      </c>
      <c r="R56" s="90">
        <f t="shared" ref="R56:R64" si="9">+Q56*N56</f>
        <v>108000</v>
      </c>
      <c r="S56" s="116">
        <f t="shared" ref="S56:S64" si="10">+R56/R$65</f>
        <v>8.123354644603234E-2</v>
      </c>
    </row>
    <row r="57" spans="1:19" x14ac:dyDescent="0.25">
      <c r="A57" s="19"/>
      <c r="B57" s="21">
        <f t="shared" si="6"/>
        <v>60</v>
      </c>
      <c r="C57" s="21">
        <f t="shared" si="7"/>
        <v>60</v>
      </c>
      <c r="D57" s="24">
        <f t="shared" si="5"/>
        <v>-38.405405405405403</v>
      </c>
      <c r="E57" s="24">
        <f t="shared" si="5"/>
        <v>-11.549549549549548</v>
      </c>
      <c r="F57" s="24">
        <f t="shared" si="5"/>
        <v>-3.2180180180180176</v>
      </c>
      <c r="G57" s="24">
        <f t="shared" si="5"/>
        <v>-8.2972972972972947</v>
      </c>
      <c r="H57" s="24">
        <f t="shared" si="5"/>
        <v>-9.4090090090090062</v>
      </c>
      <c r="I57" s="19"/>
      <c r="M57" s="90" t="s">
        <v>80</v>
      </c>
      <c r="N57" s="90">
        <v>520</v>
      </c>
      <c r="O57" s="110">
        <v>0.10299999999999999</v>
      </c>
      <c r="Q57" s="90">
        <v>250</v>
      </c>
      <c r="R57" s="90">
        <f t="shared" si="9"/>
        <v>130000</v>
      </c>
      <c r="S57" s="116">
        <f t="shared" si="10"/>
        <v>9.7781120722075968E-2</v>
      </c>
    </row>
    <row r="58" spans="1:19" x14ac:dyDescent="0.25">
      <c r="A58" s="19"/>
      <c r="B58" s="21">
        <f t="shared" si="6"/>
        <v>65</v>
      </c>
      <c r="C58" s="21">
        <f t="shared" si="7"/>
        <v>65</v>
      </c>
      <c r="D58" s="24">
        <f t="shared" si="5"/>
        <v>-46.382211538461547</v>
      </c>
      <c r="E58" s="24">
        <f t="shared" si="5"/>
        <v>-14.388461538461538</v>
      </c>
      <c r="F58" s="24">
        <f t="shared" si="5"/>
        <v>-4.7557692307692321</v>
      </c>
      <c r="G58" s="24">
        <f t="shared" si="5"/>
        <v>-10.451923076923075</v>
      </c>
      <c r="H58" s="24">
        <f t="shared" si="5"/>
        <v>-12.504326923076926</v>
      </c>
      <c r="I58" s="19"/>
      <c r="M58" s="90" t="s">
        <v>81</v>
      </c>
      <c r="N58" s="90">
        <v>420</v>
      </c>
      <c r="O58" s="110">
        <v>0.125</v>
      </c>
      <c r="Q58" s="90">
        <v>350</v>
      </c>
      <c r="R58" s="90">
        <f t="shared" si="9"/>
        <v>147000</v>
      </c>
      <c r="S58" s="116">
        <f t="shared" si="10"/>
        <v>0.11056788266265513</v>
      </c>
    </row>
    <row r="59" spans="1:19" x14ac:dyDescent="0.25">
      <c r="A59" s="19"/>
      <c r="B59" s="21">
        <f t="shared" si="6"/>
        <v>70</v>
      </c>
      <c r="C59" s="21">
        <f t="shared" si="7"/>
        <v>70</v>
      </c>
      <c r="D59" s="24">
        <f t="shared" si="5"/>
        <v>-55.114285714285714</v>
      </c>
      <c r="E59" s="24">
        <f t="shared" si="5"/>
        <v>-17.528571428571428</v>
      </c>
      <c r="F59" s="24">
        <f t="shared" si="5"/>
        <v>-6.5</v>
      </c>
      <c r="G59" s="24">
        <f t="shared" si="5"/>
        <v>-12.785714285714283</v>
      </c>
      <c r="H59" s="24">
        <f t="shared" si="5"/>
        <v>-16</v>
      </c>
      <c r="I59" s="19"/>
      <c r="M59" s="90" t="s">
        <v>82</v>
      </c>
      <c r="N59" s="90">
        <v>380</v>
      </c>
      <c r="O59" s="110">
        <v>0.122</v>
      </c>
      <c r="Q59" s="90">
        <v>450</v>
      </c>
      <c r="R59" s="90">
        <f t="shared" si="9"/>
        <v>171000</v>
      </c>
      <c r="S59" s="116">
        <f t="shared" si="10"/>
        <v>0.12861978187288453</v>
      </c>
    </row>
    <row r="60" spans="1:19" x14ac:dyDescent="0.25">
      <c r="A60" s="19"/>
      <c r="B60" s="21">
        <f t="shared" si="6"/>
        <v>75</v>
      </c>
      <c r="C60" s="21">
        <f t="shared" si="7"/>
        <v>75</v>
      </c>
      <c r="D60" s="24">
        <f t="shared" si="5"/>
        <v>-64.605064655172413</v>
      </c>
      <c r="E60" s="24">
        <f t="shared" si="5"/>
        <v>-20.971982758620687</v>
      </c>
      <c r="F60" s="24">
        <f t="shared" si="5"/>
        <v>-8.4525862068965516</v>
      </c>
      <c r="G60" s="24">
        <f t="shared" si="5"/>
        <v>-15.290948275862064</v>
      </c>
      <c r="H60" s="24">
        <f t="shared" si="5"/>
        <v>-19.903556034482758</v>
      </c>
      <c r="I60" s="19"/>
      <c r="M60" s="90" t="s">
        <v>83</v>
      </c>
      <c r="N60" s="90">
        <v>380</v>
      </c>
      <c r="O60" s="110">
        <v>0.14699999999999999</v>
      </c>
      <c r="Q60" s="90">
        <v>550</v>
      </c>
      <c r="R60" s="90">
        <f t="shared" si="9"/>
        <v>209000</v>
      </c>
      <c r="S60" s="116">
        <f t="shared" si="10"/>
        <v>0.15720195562241443</v>
      </c>
    </row>
    <row r="61" spans="1:19" x14ac:dyDescent="0.25">
      <c r="A61" s="19"/>
      <c r="B61" s="21">
        <f t="shared" si="6"/>
        <v>80</v>
      </c>
      <c r="C61" s="21">
        <f t="shared" si="7"/>
        <v>80</v>
      </c>
      <c r="D61" s="24">
        <f t="shared" si="5"/>
        <v>-74.857790368271964</v>
      </c>
      <c r="E61" s="24">
        <f t="shared" si="5"/>
        <v>-24.720679886685556</v>
      </c>
      <c r="F61" s="24">
        <f t="shared" si="5"/>
        <v>-10.615297450424929</v>
      </c>
      <c r="G61" s="24">
        <f t="shared" si="5"/>
        <v>-17.96033994334277</v>
      </c>
      <c r="H61" s="24">
        <f t="shared" si="5"/>
        <v>-24.22209631728045</v>
      </c>
      <c r="I61" s="19"/>
      <c r="M61" s="90" t="s">
        <v>84</v>
      </c>
      <c r="N61" s="90">
        <v>220</v>
      </c>
      <c r="O61" s="110">
        <v>0.123</v>
      </c>
      <c r="Q61" s="90">
        <v>650</v>
      </c>
      <c r="R61" s="90">
        <f t="shared" si="9"/>
        <v>143000</v>
      </c>
      <c r="S61" s="116">
        <f t="shared" si="10"/>
        <v>0.10755923279428356</v>
      </c>
    </row>
    <row r="62" spans="1:19" x14ac:dyDescent="0.25">
      <c r="A62" s="19"/>
      <c r="B62" s="21">
        <f t="shared" si="6"/>
        <v>85</v>
      </c>
      <c r="C62" s="21">
        <f t="shared" si="7"/>
        <v>85</v>
      </c>
      <c r="D62" s="24">
        <f t="shared" ref="D62:H66" si="11">+D37*(($B62-$C$14)/($B62+273))*$G$12</f>
        <v>-85.875523743016771</v>
      </c>
      <c r="E62" s="24">
        <f t="shared" si="11"/>
        <v>-28.776536312849164</v>
      </c>
      <c r="F62" s="24">
        <f t="shared" si="11"/>
        <v>-12.989804469273743</v>
      </c>
      <c r="G62" s="24">
        <f t="shared" si="11"/>
        <v>-20.787011173184354</v>
      </c>
      <c r="H62" s="24">
        <f t="shared" si="11"/>
        <v>-28.962325418994414</v>
      </c>
      <c r="I62" s="19"/>
      <c r="M62" s="90" t="s">
        <v>85</v>
      </c>
      <c r="N62" s="90">
        <v>210</v>
      </c>
      <c r="O62" s="110">
        <v>0.13400000000000001</v>
      </c>
      <c r="Q62" s="90">
        <v>750</v>
      </c>
      <c r="R62" s="90">
        <f t="shared" si="9"/>
        <v>157500</v>
      </c>
      <c r="S62" s="116">
        <f t="shared" si="10"/>
        <v>0.11846558856713051</v>
      </c>
    </row>
    <row r="63" spans="1:19" x14ac:dyDescent="0.25">
      <c r="A63" s="19"/>
      <c r="B63" s="21">
        <f t="shared" si="6"/>
        <v>90</v>
      </c>
      <c r="C63" s="21">
        <f t="shared" si="7"/>
        <v>90</v>
      </c>
      <c r="D63" s="24">
        <f t="shared" si="11"/>
        <v>-97.661157024793397</v>
      </c>
      <c r="E63" s="24">
        <f t="shared" si="11"/>
        <v>-33.141322314049589</v>
      </c>
      <c r="F63" s="24">
        <f t="shared" si="11"/>
        <v>-15.577685950413224</v>
      </c>
      <c r="G63" s="24">
        <f t="shared" si="11"/>
        <v>-23.764462809917354</v>
      </c>
      <c r="H63" s="24">
        <f t="shared" si="11"/>
        <v>-34.130578512396688</v>
      </c>
      <c r="I63" s="19"/>
      <c r="M63" s="90" t="s">
        <v>86</v>
      </c>
      <c r="N63" s="90">
        <v>180</v>
      </c>
      <c r="O63" s="110">
        <v>8.5999999999999993E-2</v>
      </c>
      <c r="Q63" s="90">
        <v>850</v>
      </c>
      <c r="R63" s="90">
        <f t="shared" si="9"/>
        <v>153000</v>
      </c>
      <c r="S63" s="116">
        <f t="shared" si="10"/>
        <v>0.11508085746521249</v>
      </c>
    </row>
    <row r="64" spans="1:19" x14ac:dyDescent="0.25">
      <c r="A64" s="19"/>
      <c r="B64" s="21">
        <f t="shared" si="6"/>
        <v>95</v>
      </c>
      <c r="C64" s="21">
        <f t="shared" si="7"/>
        <v>95</v>
      </c>
      <c r="D64" s="24">
        <f t="shared" si="11"/>
        <v>-110.2174252717391</v>
      </c>
      <c r="E64" s="24">
        <f t="shared" si="11"/>
        <v>-37.816711956521743</v>
      </c>
      <c r="F64" s="24">
        <f t="shared" si="11"/>
        <v>-18.380434782608695</v>
      </c>
      <c r="G64" s="24">
        <f t="shared" si="11"/>
        <v>-26.88654891304347</v>
      </c>
      <c r="H64" s="24">
        <f t="shared" si="11"/>
        <v>-39.732846467391298</v>
      </c>
      <c r="I64" s="19"/>
      <c r="M64" s="90" t="s">
        <v>87</v>
      </c>
      <c r="N64" s="90">
        <v>40</v>
      </c>
      <c r="O64" s="110">
        <v>2.7E-2</v>
      </c>
      <c r="Q64" s="90">
        <v>950</v>
      </c>
      <c r="R64" s="90">
        <f t="shared" si="9"/>
        <v>38000</v>
      </c>
      <c r="S64" s="116">
        <f t="shared" si="10"/>
        <v>2.8582173749529899E-2</v>
      </c>
    </row>
    <row r="65" spans="1:18" x14ac:dyDescent="0.25">
      <c r="A65" s="19"/>
      <c r="B65" s="21">
        <f t="shared" si="6"/>
        <v>100</v>
      </c>
      <c r="C65" s="21">
        <f t="shared" si="7"/>
        <v>100</v>
      </c>
      <c r="D65" s="24">
        <f t="shared" si="11"/>
        <v>-123.54691689008042</v>
      </c>
      <c r="E65" s="24">
        <f t="shared" si="11"/>
        <v>-42.804289544235921</v>
      </c>
      <c r="F65" s="24">
        <f t="shared" si="11"/>
        <v>-21.399463806970509</v>
      </c>
      <c r="G65" s="24">
        <f t="shared" si="11"/>
        <v>-30.147453083109919</v>
      </c>
      <c r="H65" s="24">
        <f t="shared" si="11"/>
        <v>-45.774798927613944</v>
      </c>
      <c r="I65" s="19"/>
      <c r="N65" s="90">
        <f>SUM(N55:N64)</f>
        <v>4530</v>
      </c>
      <c r="O65" s="110">
        <f>SUM(O55:O64)</f>
        <v>1.002</v>
      </c>
      <c r="R65" s="90">
        <f>SUM(R55:R64)</f>
        <v>1329500</v>
      </c>
    </row>
    <row r="66" spans="1:18" x14ac:dyDescent="0.25">
      <c r="A66" s="19"/>
      <c r="B66" s="21">
        <f t="shared" si="6"/>
        <v>105</v>
      </c>
      <c r="C66" s="21">
        <f t="shared" si="7"/>
        <v>105</v>
      </c>
      <c r="D66" s="24">
        <f t="shared" si="11"/>
        <v>-137.65208333333334</v>
      </c>
      <c r="E66" s="24">
        <f t="shared" si="11"/>
        <v>-48.105555555555547</v>
      </c>
      <c r="F66" s="24">
        <f t="shared" si="11"/>
        <v>-24.636111111111113</v>
      </c>
      <c r="G66" s="24">
        <f t="shared" si="11"/>
        <v>-33.541666666666657</v>
      </c>
      <c r="H66" s="24">
        <f t="shared" si="11"/>
        <v>-52.261805555555554</v>
      </c>
      <c r="I66" s="19"/>
      <c r="Q66" s="110"/>
      <c r="R66" s="110"/>
    </row>
    <row r="67" spans="1:18" x14ac:dyDescent="0.25">
      <c r="A67" s="19"/>
      <c r="B67" s="19"/>
      <c r="C67" s="19"/>
      <c r="D67" s="25">
        <f>+D42*$G13*$G12</f>
        <v>-2.2450031725888331</v>
      </c>
      <c r="E67" s="25">
        <f>+E42*$G13*$G12</f>
        <v>0.39165609137055862</v>
      </c>
      <c r="F67" s="25">
        <f>+F42*$G13*$G12</f>
        <v>1.956567258883249</v>
      </c>
      <c r="G67" s="25">
        <f>+G42*$G13*$G12</f>
        <v>1.2335025380710662</v>
      </c>
      <c r="H67" s="25">
        <f>+H42*$G13*$G12</f>
        <v>1.9393876903553307</v>
      </c>
      <c r="I67" s="19"/>
    </row>
    <row r="68" spans="1:18" ht="13.8" thickBot="1" x14ac:dyDescent="0.3">
      <c r="A68" s="19"/>
      <c r="B68" s="19"/>
      <c r="C68" s="19"/>
      <c r="D68" s="24"/>
      <c r="E68" s="24"/>
      <c r="F68" s="24"/>
      <c r="G68" s="24"/>
      <c r="H68" s="24"/>
      <c r="I68" s="19"/>
    </row>
    <row r="69" spans="1:18" ht="16.05" customHeight="1" x14ac:dyDescent="0.25">
      <c r="A69" s="19"/>
      <c r="B69" s="26"/>
      <c r="C69" s="26"/>
      <c r="D69" s="77" t="s">
        <v>129</v>
      </c>
      <c r="E69" s="78" t="s">
        <v>116</v>
      </c>
      <c r="F69" s="79" t="s">
        <v>62</v>
      </c>
      <c r="G69" s="79" t="s">
        <v>132</v>
      </c>
      <c r="H69" s="80" t="s">
        <v>94</v>
      </c>
      <c r="I69" s="19"/>
    </row>
    <row r="70" spans="1:18" ht="16.05" customHeight="1" x14ac:dyDescent="0.25">
      <c r="A70" s="19"/>
      <c r="B70" s="26"/>
      <c r="C70" s="26"/>
      <c r="D70" s="81" t="s">
        <v>130</v>
      </c>
      <c r="E70" s="78" t="s">
        <v>117</v>
      </c>
      <c r="F70" s="82" t="s">
        <v>106</v>
      </c>
      <c r="G70" s="82" t="s">
        <v>133</v>
      </c>
      <c r="H70" s="80" t="s">
        <v>102</v>
      </c>
      <c r="I70" s="19"/>
      <c r="O70" s="110"/>
    </row>
    <row r="71" spans="1:18" ht="13.95" customHeight="1" x14ac:dyDescent="0.25">
      <c r="A71" s="19"/>
      <c r="B71" s="26"/>
      <c r="C71" s="27" t="s">
        <v>97</v>
      </c>
      <c r="D71" s="83">
        <v>0.83099999999999996</v>
      </c>
      <c r="E71" s="84">
        <v>0.53200000000000003</v>
      </c>
      <c r="F71" s="85">
        <v>0.64400000000000002</v>
      </c>
      <c r="G71" s="85">
        <v>0.76500000000000001</v>
      </c>
      <c r="H71" s="83">
        <v>0.80800000000000005</v>
      </c>
      <c r="I71" s="19"/>
      <c r="O71" s="110"/>
    </row>
    <row r="72" spans="1:18" ht="13.95" customHeight="1" x14ac:dyDescent="0.25">
      <c r="A72" s="19"/>
      <c r="B72" s="26"/>
      <c r="C72" s="27" t="s">
        <v>98</v>
      </c>
      <c r="D72" s="83">
        <v>3.52</v>
      </c>
      <c r="E72" s="84">
        <v>1.2689999999999999</v>
      </c>
      <c r="F72" s="85">
        <v>0.749</v>
      </c>
      <c r="G72" s="85">
        <v>1.66</v>
      </c>
      <c r="H72" s="83">
        <v>1.123</v>
      </c>
      <c r="I72" s="19"/>
      <c r="O72" s="110"/>
    </row>
    <row r="73" spans="1:18" ht="13.95" customHeight="1" x14ac:dyDescent="0.25">
      <c r="A73" s="19"/>
      <c r="B73" s="26"/>
      <c r="C73" s="27" t="s">
        <v>99</v>
      </c>
      <c r="D73" s="83">
        <v>1.67E-2</v>
      </c>
      <c r="E73" s="84">
        <v>7.0000000000000001E-3</v>
      </c>
      <c r="F73" s="85">
        <v>5.0000000000000001E-3</v>
      </c>
      <c r="G73" s="85">
        <v>0</v>
      </c>
      <c r="H73" s="83">
        <v>1.15E-2</v>
      </c>
      <c r="I73" s="19"/>
      <c r="K73" s="90">
        <f>+K74*K75</f>
        <v>0.88359999999999994</v>
      </c>
      <c r="L73" s="90">
        <f t="shared" ref="L73:O73" si="12">+L74*L75</f>
        <v>1.0295999999999998</v>
      </c>
      <c r="M73" s="90">
        <f t="shared" si="12"/>
        <v>0.93099999999999994</v>
      </c>
      <c r="N73" s="90">
        <f t="shared" si="12"/>
        <v>1.2467000000000001</v>
      </c>
      <c r="O73" s="90">
        <f t="shared" si="12"/>
        <v>1.4724999999999999</v>
      </c>
    </row>
    <row r="74" spans="1:18" ht="13.95" customHeight="1" x14ac:dyDescent="0.25">
      <c r="A74" s="19"/>
      <c r="B74" s="26"/>
      <c r="C74" s="27" t="s">
        <v>17</v>
      </c>
      <c r="D74" s="83">
        <v>0.94</v>
      </c>
      <c r="E74" s="84">
        <v>1.17</v>
      </c>
      <c r="F74" s="85">
        <v>0.95</v>
      </c>
      <c r="G74" s="85">
        <v>1.37</v>
      </c>
      <c r="H74" s="83">
        <v>1.55</v>
      </c>
      <c r="I74" s="19"/>
      <c r="K74" s="83">
        <v>0.94</v>
      </c>
      <c r="L74" s="84">
        <v>1.17</v>
      </c>
      <c r="M74" s="85">
        <v>0.95</v>
      </c>
      <c r="N74" s="85">
        <v>1.37</v>
      </c>
      <c r="O74" s="83">
        <v>1.55</v>
      </c>
    </row>
    <row r="75" spans="1:18" ht="13.95" customHeight="1" x14ac:dyDescent="0.25">
      <c r="A75" s="19"/>
      <c r="B75" s="26"/>
      <c r="C75" s="27" t="s">
        <v>21</v>
      </c>
      <c r="D75" s="83">
        <v>0.94</v>
      </c>
      <c r="E75" s="84">
        <v>0.88</v>
      </c>
      <c r="F75" s="85">
        <v>0.98</v>
      </c>
      <c r="G75" s="85">
        <v>0.91</v>
      </c>
      <c r="H75" s="83">
        <v>0.97</v>
      </c>
      <c r="I75" s="19"/>
      <c r="K75" s="83">
        <v>0.94</v>
      </c>
      <c r="L75" s="84">
        <v>0.88</v>
      </c>
      <c r="M75" s="85">
        <v>0.98</v>
      </c>
      <c r="N75" s="85">
        <v>0.91</v>
      </c>
      <c r="O75" s="83">
        <v>0.95</v>
      </c>
    </row>
    <row r="76" spans="1:18" ht="13.95" customHeight="1" x14ac:dyDescent="0.25">
      <c r="A76" s="19"/>
      <c r="B76" s="26"/>
      <c r="C76" s="27" t="s">
        <v>95</v>
      </c>
      <c r="D76" s="83">
        <v>5.16</v>
      </c>
      <c r="E76" s="84">
        <v>3.6</v>
      </c>
      <c r="F76" s="85">
        <v>4.5</v>
      </c>
      <c r="G76" s="85">
        <v>2.7040000000000002</v>
      </c>
      <c r="H76" s="83">
        <v>1.1200000000000001</v>
      </c>
      <c r="I76" s="19"/>
      <c r="O76" s="110"/>
    </row>
    <row r="77" spans="1:18" ht="13.95" customHeight="1" x14ac:dyDescent="0.25">
      <c r="A77" s="19"/>
      <c r="B77" s="26"/>
      <c r="C77" s="27" t="s">
        <v>96</v>
      </c>
      <c r="D77" s="86">
        <v>5.61</v>
      </c>
      <c r="E77" s="87">
        <v>4.8899999999999997</v>
      </c>
      <c r="F77" s="88">
        <v>4.93</v>
      </c>
      <c r="G77" s="88">
        <v>4.9400000000000004</v>
      </c>
      <c r="H77" s="86">
        <v>2.1059999999999999</v>
      </c>
      <c r="I77" s="19"/>
      <c r="K77" s="83">
        <v>1</v>
      </c>
      <c r="L77" s="83">
        <v>1</v>
      </c>
      <c r="M77" s="83">
        <v>1</v>
      </c>
      <c r="N77" s="83">
        <v>1</v>
      </c>
      <c r="O77" s="83">
        <v>1</v>
      </c>
    </row>
    <row r="78" spans="1:18" ht="13.8" thickBot="1" x14ac:dyDescent="0.3">
      <c r="A78" s="19"/>
      <c r="B78" s="26"/>
      <c r="C78" s="26" t="s">
        <v>103</v>
      </c>
      <c r="D78" s="28">
        <f>+D42</f>
        <v>-0.42120535714285723</v>
      </c>
      <c r="E78" s="28">
        <f>+E42</f>
        <v>7.3482142857142899E-2</v>
      </c>
      <c r="F78" s="29">
        <f>+F42</f>
        <v>0.36708928571428573</v>
      </c>
      <c r="G78" s="30">
        <f>+G42</f>
        <v>0.23142857142857146</v>
      </c>
      <c r="H78" s="31">
        <f>+H42</f>
        <v>0.36386607142857152</v>
      </c>
      <c r="I78" s="19"/>
      <c r="K78" s="83">
        <v>1</v>
      </c>
      <c r="L78" s="83">
        <v>1</v>
      </c>
      <c r="M78" s="83">
        <v>1</v>
      </c>
      <c r="N78" s="83">
        <v>1</v>
      </c>
      <c r="O78" s="83">
        <v>1</v>
      </c>
    </row>
    <row r="79" spans="1:18" x14ac:dyDescent="0.25">
      <c r="A79" s="19"/>
      <c r="B79" s="26" t="s">
        <v>47</v>
      </c>
      <c r="C79" s="26" t="s">
        <v>50</v>
      </c>
      <c r="D79" s="19"/>
      <c r="E79" s="32">
        <f>+E80/F80</f>
        <v>0.20017512282920666</v>
      </c>
      <c r="F79" s="32">
        <f>+E80/H80</f>
        <v>0.20194832282285971</v>
      </c>
      <c r="G79" s="19"/>
      <c r="H79" s="19"/>
      <c r="I79" s="19"/>
    </row>
    <row r="80" spans="1:18" x14ac:dyDescent="0.25">
      <c r="A80" s="19"/>
      <c r="B80" s="26">
        <f>+G11</f>
        <v>22.5</v>
      </c>
      <c r="C80" s="33">
        <f>+G12</f>
        <v>70</v>
      </c>
      <c r="D80" s="36">
        <f>+$C80*D78*$D98</f>
        <v>-471.75000000000011</v>
      </c>
      <c r="E80" s="34">
        <f>+$C80*E78*$D98</f>
        <v>82.30000000000004</v>
      </c>
      <c r="F80" s="34">
        <f>+$C80*F78*$D98</f>
        <v>411.14000000000004</v>
      </c>
      <c r="G80" s="34">
        <f>+$C80*G78*$D98</f>
        <v>259.20000000000005</v>
      </c>
      <c r="H80" s="34">
        <f>+$C80*H78*$D98</f>
        <v>407.53000000000009</v>
      </c>
      <c r="I80" s="19"/>
    </row>
    <row r="81" spans="1:16" x14ac:dyDescent="0.25">
      <c r="A81" s="19"/>
      <c r="B81" s="27" t="s">
        <v>104</v>
      </c>
      <c r="C81" s="27"/>
      <c r="D81" s="117">
        <f>+D74</f>
        <v>0.94</v>
      </c>
      <c r="E81" s="117">
        <f t="shared" ref="E81:F81" si="13">+E74</f>
        <v>1.17</v>
      </c>
      <c r="F81" s="117">
        <f t="shared" si="13"/>
        <v>0.95</v>
      </c>
      <c r="G81" s="117">
        <f t="shared" ref="G81:H81" si="14">+G74</f>
        <v>1.37</v>
      </c>
      <c r="H81" s="117">
        <f t="shared" si="14"/>
        <v>1.55</v>
      </c>
      <c r="I81" s="19"/>
    </row>
    <row r="82" spans="1:16" x14ac:dyDescent="0.25">
      <c r="A82" s="19"/>
      <c r="B82" s="27" t="s">
        <v>105</v>
      </c>
      <c r="C82" s="27"/>
      <c r="D82" s="117">
        <f>+D75</f>
        <v>0.94</v>
      </c>
      <c r="E82" s="117">
        <f t="shared" ref="E82:F82" si="15">+E75</f>
        <v>0.88</v>
      </c>
      <c r="F82" s="117">
        <f t="shared" si="15"/>
        <v>0.98</v>
      </c>
      <c r="G82" s="117">
        <f t="shared" ref="G82:H82" si="16">+G75</f>
        <v>0.91</v>
      </c>
      <c r="H82" s="117">
        <f t="shared" si="16"/>
        <v>0.97</v>
      </c>
      <c r="I82" s="19"/>
    </row>
    <row r="83" spans="1:16" x14ac:dyDescent="0.25">
      <c r="A83" s="19"/>
      <c r="B83" s="27" t="s">
        <v>51</v>
      </c>
      <c r="C83" s="26"/>
      <c r="D83" s="36">
        <f>+D82*D81*D80</f>
        <v>-416.83830000000006</v>
      </c>
      <c r="E83" s="34">
        <f t="shared" ref="E83:G83" si="17">+E82*E81*E80</f>
        <v>84.73608000000003</v>
      </c>
      <c r="F83" s="41">
        <f>+F82*F81*F80</f>
        <v>382.77134000000001</v>
      </c>
      <c r="G83" s="35">
        <f t="shared" si="17"/>
        <v>323.14464000000009</v>
      </c>
      <c r="H83" s="36">
        <f>+H82*H81*H80</f>
        <v>612.72135500000013</v>
      </c>
      <c r="I83" s="19"/>
    </row>
    <row r="84" spans="1:16" ht="13.8" x14ac:dyDescent="0.25">
      <c r="A84" s="19"/>
      <c r="B84" s="42" t="s">
        <v>72</v>
      </c>
      <c r="C84" s="43"/>
      <c r="D84" s="44">
        <f>+D83/$D$98</f>
        <v>-26.052393750000004</v>
      </c>
      <c r="E84" s="45">
        <f t="shared" ref="E84:H84" si="18">+E83/$D$98</f>
        <v>5.2960050000000018</v>
      </c>
      <c r="F84" s="46">
        <f t="shared" si="18"/>
        <v>23.923208750000001</v>
      </c>
      <c r="G84" s="47">
        <f t="shared" si="18"/>
        <v>20.196540000000006</v>
      </c>
      <c r="H84" s="44">
        <f t="shared" si="18"/>
        <v>38.295084687500008</v>
      </c>
      <c r="I84" s="19"/>
    </row>
    <row r="85" spans="1:16" x14ac:dyDescent="0.25">
      <c r="A85" s="19"/>
      <c r="B85" s="27" t="s">
        <v>74</v>
      </c>
      <c r="C85" s="27"/>
      <c r="D85" s="37">
        <f>+D76/D77</f>
        <v>0.9197860962566845</v>
      </c>
      <c r="E85" s="38">
        <f>+E76/E77</f>
        <v>0.73619631901840499</v>
      </c>
      <c r="F85" s="39">
        <f>+F76/F77</f>
        <v>0.91277890466531442</v>
      </c>
      <c r="G85" s="40">
        <f>+G76/G77</f>
        <v>0.54736842105263162</v>
      </c>
      <c r="H85" s="37">
        <f>+H76/H77</f>
        <v>0.53181386514719853</v>
      </c>
      <c r="I85" s="19"/>
    </row>
    <row r="86" spans="1:16" x14ac:dyDescent="0.25">
      <c r="A86" s="19"/>
      <c r="B86" s="27" t="s">
        <v>52</v>
      </c>
      <c r="C86" s="27"/>
      <c r="D86" s="48">
        <f>+$D$98/D85</f>
        <v>17.395348837209301</v>
      </c>
      <c r="E86" s="49">
        <f>+$D$98/E85</f>
        <v>21.733333333333331</v>
      </c>
      <c r="F86" s="50">
        <f>+$D$98/F85</f>
        <v>17.52888888888889</v>
      </c>
      <c r="G86" s="51">
        <f>+$D$98/G85</f>
        <v>29.23076923076923</v>
      </c>
      <c r="H86" s="48">
        <f>+$D$98/H85</f>
        <v>30.085714285714282</v>
      </c>
      <c r="I86" s="19"/>
    </row>
    <row r="87" spans="1:16" ht="13.8" thickBot="1" x14ac:dyDescent="0.3">
      <c r="A87" s="19"/>
      <c r="B87" s="27" t="s">
        <v>73</v>
      </c>
      <c r="C87" s="27"/>
      <c r="D87" s="44">
        <f>+D84*D85</f>
        <v>-23.962629545454551</v>
      </c>
      <c r="E87" s="45">
        <f t="shared" ref="E87:H87" si="19">+E84*E85</f>
        <v>3.8988993865030692</v>
      </c>
      <c r="F87" s="52">
        <f t="shared" si="19"/>
        <v>21.836600278904665</v>
      </c>
      <c r="G87" s="47">
        <f t="shared" si="19"/>
        <v>11.054948210526319</v>
      </c>
      <c r="H87" s="44">
        <f t="shared" si="19"/>
        <v>20.365857003798677</v>
      </c>
      <c r="I87" s="19"/>
    </row>
    <row r="88" spans="1:16" ht="13.8" thickBot="1" x14ac:dyDescent="0.3">
      <c r="A88" s="19"/>
      <c r="B88" s="27" t="s">
        <v>131</v>
      </c>
      <c r="C88" s="27"/>
      <c r="D88" s="36">
        <f>+D87*D86</f>
        <v>-416.83830000000006</v>
      </c>
      <c r="E88" s="34">
        <f t="shared" ref="E88:H88" si="20">+E87*E86</f>
        <v>84.73608000000003</v>
      </c>
      <c r="F88" s="53">
        <f t="shared" si="20"/>
        <v>382.77134000000001</v>
      </c>
      <c r="G88" s="35">
        <f t="shared" si="20"/>
        <v>323.14464000000009</v>
      </c>
      <c r="H88" s="36">
        <f t="shared" si="20"/>
        <v>612.72135500000013</v>
      </c>
      <c r="I88" s="19"/>
      <c r="J88" s="111"/>
    </row>
    <row r="89" spans="1:16" ht="13.8" thickBot="1" x14ac:dyDescent="0.3">
      <c r="A89" s="19"/>
      <c r="B89" s="54"/>
      <c r="C89" s="55"/>
      <c r="D89" s="128" t="s">
        <v>53</v>
      </c>
      <c r="E89" s="128"/>
      <c r="F89" s="129"/>
      <c r="G89" s="128"/>
      <c r="H89" s="128"/>
      <c r="I89" s="19"/>
    </row>
    <row r="90" spans="1:16" x14ac:dyDescent="0.25">
      <c r="A90" s="19"/>
      <c r="B90" s="19"/>
      <c r="C90" s="27" t="s">
        <v>54</v>
      </c>
      <c r="D90" s="44">
        <f>+D67</f>
        <v>-2.2450031725888331</v>
      </c>
      <c r="E90" s="45">
        <f>+E67</f>
        <v>0.39165609137055862</v>
      </c>
      <c r="F90" s="56">
        <f>+F67</f>
        <v>1.956567258883249</v>
      </c>
      <c r="G90" s="47">
        <f>+G67</f>
        <v>1.2335025380710662</v>
      </c>
      <c r="H90" s="44">
        <f>+H67</f>
        <v>1.9393876903553307</v>
      </c>
      <c r="I90" s="19"/>
    </row>
    <row r="91" spans="1:16" ht="13.8" thickBot="1" x14ac:dyDescent="0.3">
      <c r="A91" s="19"/>
      <c r="B91" s="19"/>
      <c r="C91" s="27" t="s">
        <v>71</v>
      </c>
      <c r="D91" s="57">
        <f>+D90*$D$98</f>
        <v>-35.920050761421329</v>
      </c>
      <c r="E91" s="58">
        <f>+E90*$D$98</f>
        <v>6.266497461928938</v>
      </c>
      <c r="F91" s="59">
        <f>+F90*$D$98</f>
        <v>31.305076142131984</v>
      </c>
      <c r="G91" s="60">
        <f>+G90*$D$98</f>
        <v>19.73604060913706</v>
      </c>
      <c r="H91" s="57">
        <f>+H90*$D$98</f>
        <v>31.03020304568529</v>
      </c>
      <c r="I91" s="19"/>
    </row>
    <row r="92" spans="1:16" ht="13.8" thickBot="1" x14ac:dyDescent="0.3">
      <c r="A92" s="19"/>
      <c r="B92" s="19"/>
      <c r="C92" s="19"/>
      <c r="D92" s="130" t="s">
        <v>55</v>
      </c>
      <c r="E92" s="130"/>
      <c r="F92" s="131"/>
      <c r="G92" s="130"/>
      <c r="H92" s="130"/>
      <c r="I92" s="19"/>
      <c r="K92" s="92"/>
      <c r="L92" s="112"/>
      <c r="M92" s="112"/>
      <c r="N92" s="112"/>
      <c r="O92" s="112"/>
      <c r="P92" s="112"/>
    </row>
    <row r="93" spans="1:16" x14ac:dyDescent="0.25">
      <c r="A93" s="19"/>
      <c r="B93" s="19"/>
      <c r="C93" s="27" t="s">
        <v>54</v>
      </c>
      <c r="D93" s="44">
        <f>+D90*D$85</f>
        <v>-2.0649227041993545</v>
      </c>
      <c r="E93" s="45">
        <f t="shared" ref="E93:H93" si="21">+E90*E$85</f>
        <v>0.28833577278814138</v>
      </c>
      <c r="F93" s="56">
        <f t="shared" si="21"/>
        <v>1.7859133194674688</v>
      </c>
      <c r="G93" s="47">
        <f t="shared" si="21"/>
        <v>0.67518033662837318</v>
      </c>
      <c r="H93" s="44">
        <f t="shared" si="21"/>
        <v>1.0313932636267666</v>
      </c>
      <c r="I93" s="19"/>
    </row>
    <row r="94" spans="1:16" x14ac:dyDescent="0.25">
      <c r="A94" s="19"/>
      <c r="B94" s="19"/>
      <c r="C94" s="27" t="s">
        <v>70</v>
      </c>
      <c r="D94" s="57">
        <f>+D93*D86</f>
        <v>-35.920050761421329</v>
      </c>
      <c r="E94" s="58">
        <f>+E93*E86</f>
        <v>6.2664974619289389</v>
      </c>
      <c r="F94" s="61">
        <f t="shared" ref="F94:H94" si="22">+F93*F86</f>
        <v>31.305076142131988</v>
      </c>
      <c r="G94" s="60">
        <f t="shared" si="22"/>
        <v>19.73604060913706</v>
      </c>
      <c r="H94" s="57">
        <f t="shared" si="22"/>
        <v>31.03020304568529</v>
      </c>
      <c r="I94" s="19"/>
    </row>
    <row r="95" spans="1:16" x14ac:dyDescent="0.25">
      <c r="A95" s="19"/>
      <c r="B95" s="19"/>
      <c r="C95" s="27" t="s">
        <v>110</v>
      </c>
      <c r="D95" s="62">
        <f>+D88/$D106/1000/$D105</f>
        <v>-7.1683284608770423E-2</v>
      </c>
      <c r="E95" s="63">
        <f>+E88/$D106/1000/$D105</f>
        <v>1.4571982803095448E-2</v>
      </c>
      <c r="F95" s="64">
        <f t="shared" ref="F95:H95" si="23">+F88/$D106/1000/$D105</f>
        <v>6.5824822012037834E-2</v>
      </c>
      <c r="G95" s="65">
        <f t="shared" si="23"/>
        <v>5.5570875322441968E-2</v>
      </c>
      <c r="H95" s="62">
        <f t="shared" si="23"/>
        <v>0.10536910662080827</v>
      </c>
      <c r="I95" s="19"/>
    </row>
    <row r="96" spans="1:16" x14ac:dyDescent="0.25">
      <c r="A96" s="19"/>
      <c r="B96" s="19"/>
      <c r="C96" s="27" t="s">
        <v>110</v>
      </c>
      <c r="D96" s="66">
        <f>+D95/60*1000</f>
        <v>-1.1947214101461736</v>
      </c>
      <c r="E96" s="67">
        <f>+E95/60*1000</f>
        <v>0.24286638005159081</v>
      </c>
      <c r="F96" s="68">
        <f t="shared" ref="F96:H96" si="24">+F95/60*1000</f>
        <v>1.0970803668672973</v>
      </c>
      <c r="G96" s="69">
        <f t="shared" si="24"/>
        <v>0.92618125537403273</v>
      </c>
      <c r="H96" s="66">
        <f t="shared" si="24"/>
        <v>1.7561517770134711</v>
      </c>
      <c r="I96" s="19"/>
    </row>
    <row r="97" spans="1:14" ht="13.8" thickBot="1" x14ac:dyDescent="0.3">
      <c r="A97" s="19"/>
      <c r="B97" s="19"/>
      <c r="C97" s="27" t="s">
        <v>110</v>
      </c>
      <c r="D97" s="70">
        <f>+D96/60</f>
        <v>-1.9912023502436225E-2</v>
      </c>
      <c r="E97" s="71">
        <f>+E96/60</f>
        <v>4.0477730008598471E-3</v>
      </c>
      <c r="F97" s="72">
        <f t="shared" ref="F97:H97" si="25">+F96/60</f>
        <v>1.8284672781121621E-2</v>
      </c>
      <c r="G97" s="73">
        <f t="shared" si="25"/>
        <v>1.5436354256233879E-2</v>
      </c>
      <c r="H97" s="70">
        <f t="shared" si="25"/>
        <v>2.9269196283557852E-2</v>
      </c>
      <c r="I97" s="19"/>
      <c r="M97" s="112"/>
    </row>
    <row r="98" spans="1:14" x14ac:dyDescent="0.25">
      <c r="A98" s="19"/>
      <c r="B98" s="132" t="s">
        <v>56</v>
      </c>
      <c r="C98" s="133"/>
      <c r="D98" s="89">
        <v>16</v>
      </c>
      <c r="E98" s="19"/>
      <c r="F98" s="19"/>
      <c r="G98" s="19"/>
      <c r="H98" s="19"/>
      <c r="I98" s="19"/>
      <c r="K98" s="92"/>
    </row>
    <row r="99" spans="1:14" x14ac:dyDescent="0.25">
      <c r="A99" s="19"/>
      <c r="B99" s="118" t="s">
        <v>14</v>
      </c>
      <c r="C99" s="118"/>
      <c r="D99" s="81">
        <v>0</v>
      </c>
      <c r="E99" s="10" t="s">
        <v>15</v>
      </c>
      <c r="F99" s="19"/>
      <c r="G99" s="19"/>
      <c r="H99" s="19"/>
      <c r="I99" s="19"/>
    </row>
    <row r="100" spans="1:14" x14ac:dyDescent="0.25">
      <c r="A100" s="19"/>
      <c r="B100" s="118" t="s">
        <v>66</v>
      </c>
      <c r="C100" s="118"/>
      <c r="D100" s="81">
        <v>20</v>
      </c>
      <c r="E100" s="7" t="s">
        <v>15</v>
      </c>
      <c r="F100" s="19"/>
      <c r="G100" s="19"/>
      <c r="H100" s="19"/>
      <c r="I100" s="19"/>
    </row>
    <row r="101" spans="1:14" x14ac:dyDescent="0.25">
      <c r="A101" s="19"/>
      <c r="B101" s="118" t="s">
        <v>67</v>
      </c>
      <c r="C101" s="118"/>
      <c r="D101" s="81">
        <v>25</v>
      </c>
      <c r="E101" s="7" t="s">
        <v>15</v>
      </c>
      <c r="F101" s="19"/>
      <c r="G101" s="19"/>
      <c r="H101" s="19"/>
      <c r="I101" s="19"/>
    </row>
    <row r="102" spans="1:14" x14ac:dyDescent="0.25">
      <c r="A102" s="19"/>
      <c r="B102" s="118" t="s">
        <v>57</v>
      </c>
      <c r="C102" s="118"/>
      <c r="D102" s="12">
        <v>70</v>
      </c>
      <c r="E102" s="7" t="s">
        <v>28</v>
      </c>
      <c r="F102" s="19"/>
      <c r="G102" s="19"/>
      <c r="H102" s="19"/>
      <c r="I102" s="19"/>
    </row>
    <row r="103" spans="1:14" x14ac:dyDescent="0.25">
      <c r="A103" s="19"/>
      <c r="B103" s="118" t="s">
        <v>58</v>
      </c>
      <c r="C103" s="118"/>
      <c r="D103" s="8">
        <f>+(D100+D101)/2</f>
        <v>22.5</v>
      </c>
      <c r="E103" s="7" t="s">
        <v>20</v>
      </c>
      <c r="F103" s="19"/>
      <c r="G103" s="19"/>
      <c r="H103" s="19"/>
      <c r="I103" s="19"/>
    </row>
    <row r="104" spans="1:14" x14ac:dyDescent="0.25">
      <c r="A104" s="19"/>
      <c r="B104" s="118" t="s">
        <v>59</v>
      </c>
      <c r="C104" s="118"/>
      <c r="D104" s="11">
        <f>+D103-D99</f>
        <v>22.5</v>
      </c>
      <c r="E104" s="7" t="s">
        <v>20</v>
      </c>
      <c r="F104" s="19"/>
      <c r="G104" s="19"/>
      <c r="H104" s="19"/>
      <c r="I104" s="19"/>
    </row>
    <row r="105" spans="1:14" x14ac:dyDescent="0.25">
      <c r="A105" s="19"/>
      <c r="B105" s="118" t="s">
        <v>109</v>
      </c>
      <c r="C105" s="118"/>
      <c r="D105" s="11">
        <f>+D101-D100</f>
        <v>5</v>
      </c>
      <c r="E105" s="7" t="s">
        <v>20</v>
      </c>
      <c r="F105" s="19"/>
      <c r="G105" s="19"/>
      <c r="H105" s="19"/>
      <c r="I105" s="19"/>
    </row>
    <row r="106" spans="1:14" x14ac:dyDescent="0.25">
      <c r="A106" s="19"/>
      <c r="B106" s="17"/>
      <c r="C106" s="16"/>
      <c r="D106" s="8">
        <v>1.163</v>
      </c>
      <c r="E106" s="10" t="s">
        <v>108</v>
      </c>
      <c r="F106" s="19"/>
      <c r="G106" s="19"/>
      <c r="H106" s="19"/>
      <c r="I106" s="19"/>
    </row>
    <row r="107" spans="1:14" x14ac:dyDescent="0.25">
      <c r="A107" s="19"/>
      <c r="B107" s="13"/>
      <c r="C107" s="13"/>
      <c r="D107" s="14"/>
      <c r="E107" s="15"/>
      <c r="F107" s="19"/>
      <c r="G107" s="19"/>
      <c r="H107" s="19"/>
      <c r="I107" s="19"/>
    </row>
    <row r="108" spans="1:14" x14ac:dyDescent="0.25">
      <c r="A108" s="19"/>
      <c r="B108" s="13"/>
      <c r="C108" s="13"/>
      <c r="D108" s="14"/>
      <c r="E108" s="15"/>
      <c r="F108" s="19"/>
      <c r="G108" s="19"/>
      <c r="H108" s="19"/>
      <c r="I108" s="19"/>
    </row>
    <row r="109" spans="1:14" x14ac:dyDescent="0.25">
      <c r="A109" s="19"/>
      <c r="B109" s="13"/>
      <c r="C109" s="13"/>
      <c r="D109" s="14"/>
      <c r="E109" s="15"/>
      <c r="F109" s="19"/>
      <c r="G109" s="19"/>
      <c r="H109" s="19"/>
      <c r="I109" s="19"/>
    </row>
    <row r="110" spans="1:14" x14ac:dyDescent="0.25">
      <c r="A110" s="19"/>
      <c r="B110" s="74" t="s">
        <v>60</v>
      </c>
      <c r="C110" s="19"/>
      <c r="D110" s="19"/>
      <c r="E110" s="19"/>
      <c r="F110" s="19"/>
      <c r="G110" s="19"/>
      <c r="H110" s="19"/>
      <c r="I110" s="19"/>
    </row>
    <row r="111" spans="1:14" x14ac:dyDescent="0.25">
      <c r="A111" s="19"/>
      <c r="B111" s="75" t="s">
        <v>61</v>
      </c>
      <c r="C111" s="19"/>
      <c r="D111" s="19"/>
      <c r="E111" s="19"/>
      <c r="F111" s="19"/>
      <c r="G111" s="19"/>
      <c r="H111" s="19"/>
      <c r="I111" s="19"/>
      <c r="N111" s="92"/>
    </row>
    <row r="112" spans="1:14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13"/>
    </row>
    <row r="113" spans="1:9" x14ac:dyDescent="0.25">
      <c r="A113" s="19"/>
      <c r="B113" s="19" t="s">
        <v>63</v>
      </c>
      <c r="C113" s="76" t="s">
        <v>64</v>
      </c>
      <c r="D113" s="19" t="s">
        <v>65</v>
      </c>
      <c r="E113" s="19"/>
      <c r="F113" s="19"/>
      <c r="G113" s="19"/>
      <c r="H113" s="19"/>
      <c r="I113" s="19"/>
    </row>
    <row r="114" spans="1:9" x14ac:dyDescent="0.25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 x14ac:dyDescent="0.25">
      <c r="A115" s="19"/>
      <c r="B115" s="75" t="s">
        <v>107</v>
      </c>
      <c r="C115" s="19"/>
      <c r="D115" s="19"/>
      <c r="E115" s="19"/>
      <c r="F115" s="19"/>
      <c r="G115" s="19"/>
      <c r="H115" s="19"/>
      <c r="I115" s="19"/>
    </row>
    <row r="116" spans="1:9" x14ac:dyDescent="0.25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 x14ac:dyDescent="0.25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x14ac:dyDescent="0.25">
      <c r="A118" s="19"/>
      <c r="B118" s="19" t="s">
        <v>68</v>
      </c>
      <c r="C118" s="19"/>
      <c r="D118" s="19"/>
      <c r="E118" s="19"/>
      <c r="F118" s="19"/>
      <c r="G118" s="19"/>
      <c r="H118" s="19"/>
      <c r="I118" s="19"/>
    </row>
    <row r="119" spans="1:9" x14ac:dyDescent="0.25">
      <c r="A119" s="19"/>
      <c r="B119" s="19" t="s">
        <v>69</v>
      </c>
      <c r="C119" s="19"/>
      <c r="D119" s="19"/>
      <c r="E119" s="19"/>
      <c r="F119" s="19"/>
      <c r="G119" s="19"/>
      <c r="H119" s="19"/>
      <c r="I119" s="19"/>
    </row>
    <row r="120" spans="1:9" x14ac:dyDescent="0.25">
      <c r="A120" s="19"/>
      <c r="B120" s="19"/>
      <c r="C120" s="19"/>
      <c r="D120" s="19"/>
      <c r="E120" s="19"/>
      <c r="F120" s="19"/>
      <c r="G120" s="19"/>
      <c r="H120" s="19"/>
      <c r="I120" s="19"/>
    </row>
  </sheetData>
  <sheetProtection selectLockedCells="1"/>
  <protectedRanges>
    <protectedRange sqref="G11:G12 D102 D104 D106:D109" name="Range1"/>
  </protectedRanges>
  <mergeCells count="18">
    <mergeCell ref="B99:C99"/>
    <mergeCell ref="B2:H2"/>
    <mergeCell ref="G3:H3"/>
    <mergeCell ref="B4:F4"/>
    <mergeCell ref="B5:F5"/>
    <mergeCell ref="B6:F6"/>
    <mergeCell ref="B11:F11"/>
    <mergeCell ref="B12:F12"/>
    <mergeCell ref="B13:F13"/>
    <mergeCell ref="D89:H89"/>
    <mergeCell ref="D92:H92"/>
    <mergeCell ref="B98:C98"/>
    <mergeCell ref="B105:C105"/>
    <mergeCell ref="B100:C100"/>
    <mergeCell ref="B101:C101"/>
    <mergeCell ref="B102:C102"/>
    <mergeCell ref="B103:C103"/>
    <mergeCell ref="B104:C104"/>
  </mergeCells>
  <conditionalFormatting sqref="D83:H97">
    <cfRule type="cellIs" dxfId="15" priority="17" stopIfTrue="1" operator="lessThanOrEqual">
      <formula>0</formula>
    </cfRule>
  </conditionalFormatting>
  <conditionalFormatting sqref="D83:H83">
    <cfRule type="cellIs" dxfId="14" priority="16" stopIfTrue="1" operator="lessThanOrEqual">
      <formula>0</formula>
    </cfRule>
  </conditionalFormatting>
  <conditionalFormatting sqref="D91:H91">
    <cfRule type="cellIs" dxfId="13" priority="14" stopIfTrue="1" operator="lessThanOrEqual">
      <formula>0</formula>
    </cfRule>
  </conditionalFormatting>
  <conditionalFormatting sqref="D90:H90">
    <cfRule type="cellIs" dxfId="12" priority="13" stopIfTrue="1" operator="lessThanOrEqual">
      <formula>0</formula>
    </cfRule>
  </conditionalFormatting>
  <conditionalFormatting sqref="D94:H97">
    <cfRule type="cellIs" dxfId="11" priority="12" stopIfTrue="1" operator="lessThanOrEqual">
      <formula>0</formula>
    </cfRule>
  </conditionalFormatting>
  <conditionalFormatting sqref="D93:H93">
    <cfRule type="cellIs" dxfId="10" priority="11" stopIfTrue="1" operator="lessThanOrEqual">
      <formula>0</formula>
    </cfRule>
  </conditionalFormatting>
  <conditionalFormatting sqref="D86:H86">
    <cfRule type="cellIs" dxfId="9" priority="10" stopIfTrue="1" operator="lessThanOrEqual">
      <formula>0</formula>
    </cfRule>
  </conditionalFormatting>
  <conditionalFormatting sqref="D84:H84">
    <cfRule type="cellIs" dxfId="8" priority="9" stopIfTrue="1" operator="lessThanOrEqual">
      <formula>0</formula>
    </cfRule>
  </conditionalFormatting>
  <conditionalFormatting sqref="D88:H88">
    <cfRule type="cellIs" dxfId="7" priority="8" stopIfTrue="1" operator="lessThanOrEqual">
      <formula>0</formula>
    </cfRule>
  </conditionalFormatting>
  <conditionalFormatting sqref="D87:H87">
    <cfRule type="cellIs" dxfId="6" priority="7" stopIfTrue="1" operator="lessThanOrEqual">
      <formula>0</formula>
    </cfRule>
  </conditionalFormatting>
  <conditionalFormatting sqref="E80">
    <cfRule type="cellIs" dxfId="5" priority="6" stopIfTrue="1" operator="lessThanOrEqual">
      <formula>0</formula>
    </cfRule>
  </conditionalFormatting>
  <conditionalFormatting sqref="E80">
    <cfRule type="cellIs" dxfId="4" priority="5" stopIfTrue="1" operator="lessThanOrEqual">
      <formula>0</formula>
    </cfRule>
  </conditionalFormatting>
  <conditionalFormatting sqref="D80">
    <cfRule type="cellIs" dxfId="3" priority="4" stopIfTrue="1" operator="lessThanOrEqual">
      <formula>0</formula>
    </cfRule>
  </conditionalFormatting>
  <conditionalFormatting sqref="D80">
    <cfRule type="cellIs" dxfId="2" priority="3" stopIfTrue="1" operator="lessThanOrEqual">
      <formula>0</formula>
    </cfRule>
  </conditionalFormatting>
  <conditionalFormatting sqref="F80:H80">
    <cfRule type="cellIs" dxfId="1" priority="2" stopIfTrue="1" operator="lessThanOrEqual">
      <formula>0</formula>
    </cfRule>
  </conditionalFormatting>
  <conditionalFormatting sqref="F80:H80">
    <cfRule type="cellIs" dxfId="0" priority="1" stopIfTrue="1" operator="less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2" orientation="portrait" verticalDpi="1200" r:id="rId1"/>
  <headerFooter alignWithMargins="0"/>
  <rowBreaks count="1" manualBreakCount="1">
    <brk id="40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Vergleich mit Exergie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Freyer</dc:creator>
  <cp:lastModifiedBy>Jürgen Freyer</cp:lastModifiedBy>
  <dcterms:created xsi:type="dcterms:W3CDTF">2012-01-20T22:10:25Z</dcterms:created>
  <dcterms:modified xsi:type="dcterms:W3CDTF">2012-06-10T10:07:59Z</dcterms:modified>
</cp:coreProperties>
</file>